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scar Redondo\Dropbox\z_WEEBLY\0_Herramientas\Instalaciones\CTE_HS4_Fontaneria\"/>
    </mc:Choice>
  </mc:AlternateContent>
  <xr:revisionPtr revIDLastSave="0" documentId="13_ncr:1_{F37B4B07-174E-45F2-B5FE-097B2F45BC32}" xr6:coauthVersionLast="47" xr6:coauthVersionMax="47" xr10:uidLastSave="{00000000-0000-0000-0000-000000000000}"/>
  <workbookProtection workbookAlgorithmName="SHA-512" workbookHashValue="7AQ6Ti8OfSx1ZlBlsUF7vBQjKaYnKjcyyb5wv6Sxy0ugxy6+tAwjGd8gANL42V02+gkRL5sjavwdeUMTJJs5qg==" workbookSaltValue="rPwSiYOdZ8RE41yj1fhebw==" workbookSpinCount="100000" lockStructure="1"/>
  <bookViews>
    <workbookView xWindow="-120" yWindow="-120" windowWidth="29040" windowHeight="15840" xr2:uid="{00000000-000D-0000-FFFF-FFFF00000000}"/>
  </bookViews>
  <sheets>
    <sheet name="¿" sheetId="15" r:id="rId1"/>
    <sheet name="Consumos TIPO" sheetId="1" r:id="rId2"/>
    <sheet name="Tramos AF" sheetId="8" r:id="rId3"/>
    <sheet name="Grupo AF" sheetId="9" r:id="rId4"/>
    <sheet name="Propiedades agua" sheetId="7" state="hidden" r:id="rId5"/>
    <sheet name="Tramos ACS" sheetId="12" r:id="rId6"/>
    <sheet name="Retorno ACS" sheetId="13" r:id="rId7"/>
    <sheet name="Tablas" sheetId="2" state="hidden" r:id="rId8"/>
    <sheet name="RESUMEN" sheetId="14" r:id="rId9"/>
    <sheet name="Graficos" sheetId="11" state="hidden" r:id="rId10"/>
  </sheets>
  <definedNames>
    <definedName name="aparatos">Tablas!$B$6:$B$26</definedName>
    <definedName name="_xlnm.Print_Area" localSheetId="3">'Grupo AF'!$A$1:$F$39</definedName>
    <definedName name="_xlnm.Print_Area" localSheetId="8">RESUMEN!$A$1:$G$70</definedName>
    <definedName name="_xlnm.Print_Area" localSheetId="5">'Tramos ACS'!$A$8:$AJ$17</definedName>
    <definedName name="_xlnm.Print_Area" localSheetId="2">'Tramos AF'!$A$8:$AN$17</definedName>
    <definedName name="confort">Tablas!$B$33:$B$34</definedName>
    <definedName name="diametros">Tablas!$I$6:$I$19</definedName>
    <definedName name="edificios">Tablas!$I$60:$I$65</definedName>
    <definedName name="int_ext">Tablas!$C$203:$D$203</definedName>
    <definedName name="pb">Tablas!$V$88:$V$92</definedName>
    <definedName name="pex">Tablas!$S$88:$S$91</definedName>
    <definedName name="pp">Tablas!$R$88:$R$92</definedName>
    <definedName name="serie">Tablas!$C$87:$I$87</definedName>
    <definedName name="series">Tablas!$B$87:$I$87</definedName>
    <definedName name="sn">Tablas!$F$6:$F$7</definedName>
    <definedName name="Tagua">'Propiedades agua'!$A$7:$A$27</definedName>
    <definedName name="tipos">Tablas!$B$115:$B$119</definedName>
    <definedName name="tipostubo">Tablas!$B$88:$B$93</definedName>
    <definedName name="tramos">Tablas!$C$163:$C$198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4" l="1"/>
  <c r="C40" i="14" s="1"/>
  <c r="C11" i="14"/>
  <c r="C41" i="14" s="1"/>
  <c r="C12" i="14"/>
  <c r="C42" i="14" s="1"/>
  <c r="C4" i="9" l="1"/>
  <c r="H16" i="8"/>
  <c r="H15" i="8"/>
  <c r="H14" i="8"/>
  <c r="H13" i="8"/>
  <c r="H12" i="8"/>
  <c r="C29" i="14" l="1"/>
  <c r="D18" i="14"/>
  <c r="D17" i="14"/>
  <c r="D15" i="14"/>
  <c r="D14" i="14"/>
  <c r="C18" i="14"/>
  <c r="C17" i="14"/>
  <c r="C16" i="14"/>
  <c r="C15" i="14"/>
  <c r="C14" i="14"/>
  <c r="C6" i="14"/>
  <c r="C36" i="14" s="1"/>
  <c r="X13" i="1"/>
  <c r="R13" i="1" s="1"/>
  <c r="E18" i="14" s="1"/>
  <c r="X12" i="1"/>
  <c r="X10" i="1"/>
  <c r="X9" i="1"/>
  <c r="R9" i="1" s="1"/>
  <c r="E14" i="14" s="1"/>
  <c r="C9" i="14"/>
  <c r="C39" i="14" s="1"/>
  <c r="C8" i="14"/>
  <c r="C38" i="14" s="1"/>
  <c r="P13" i="13"/>
  <c r="P21" i="13" s="1"/>
  <c r="D13" i="13"/>
  <c r="D23" i="13" s="1"/>
  <c r="P26" i="13" l="1"/>
  <c r="P23" i="13"/>
  <c r="P25" i="13"/>
  <c r="P28" i="13"/>
  <c r="P24" i="13"/>
  <c r="P27" i="13"/>
  <c r="P31" i="13"/>
  <c r="P17" i="13"/>
  <c r="P22" i="13"/>
  <c r="P14" i="13"/>
  <c r="P18" i="13"/>
  <c r="P32" i="13"/>
  <c r="P16" i="13"/>
  <c r="P15" i="13"/>
  <c r="E12" i="13"/>
  <c r="E13" i="13" s="1"/>
  <c r="E23" i="13" s="1"/>
  <c r="D7" i="13"/>
  <c r="D6" i="13" s="1"/>
  <c r="AH17" i="12"/>
  <c r="D235" i="2"/>
  <c r="D234" i="2"/>
  <c r="D233" i="2"/>
  <c r="D232" i="2"/>
  <c r="D231" i="2"/>
  <c r="D230" i="2"/>
  <c r="F225" i="2"/>
  <c r="D225" i="2"/>
  <c r="F224" i="2"/>
  <c r="D224" i="2"/>
  <c r="F223" i="2"/>
  <c r="D223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F215" i="2"/>
  <c r="D215" i="2"/>
  <c r="F214" i="2"/>
  <c r="D214" i="2"/>
  <c r="G213" i="2"/>
  <c r="F213" i="2" s="1"/>
  <c r="D213" i="2"/>
  <c r="G212" i="2"/>
  <c r="F212" i="2" s="1"/>
  <c r="D212" i="2"/>
  <c r="F12" i="13" l="1"/>
  <c r="F13" i="13" s="1"/>
  <c r="F23" i="13" s="1"/>
  <c r="G12" i="13" l="1"/>
  <c r="G13" i="13" s="1"/>
  <c r="G22" i="13" l="1"/>
  <c r="G23" i="13"/>
  <c r="H12" i="13"/>
  <c r="H13" i="13" s="1"/>
  <c r="H23" i="13" l="1"/>
  <c r="H22" i="13"/>
  <c r="I12" i="13"/>
  <c r="I13" i="13" s="1"/>
  <c r="I16" i="13" l="1"/>
  <c r="I32" i="13"/>
  <c r="I22" i="13"/>
  <c r="I15" i="13"/>
  <c r="I21" i="13"/>
  <c r="I28" i="13"/>
  <c r="I27" i="13"/>
  <c r="I26" i="13"/>
  <c r="I24" i="13"/>
  <c r="I17" i="13"/>
  <c r="I25" i="13"/>
  <c r="I18" i="13"/>
  <c r="I31" i="13"/>
  <c r="I14" i="13"/>
  <c r="I23" i="13"/>
  <c r="J12" i="13"/>
  <c r="J13" i="13" s="1"/>
  <c r="J17" i="13" l="1"/>
  <c r="J32" i="13"/>
  <c r="J21" i="13"/>
  <c r="J28" i="13"/>
  <c r="J16" i="13"/>
  <c r="J14" i="13"/>
  <c r="J15" i="13"/>
  <c r="J24" i="13"/>
  <c r="J23" i="13"/>
  <c r="J25" i="13"/>
  <c r="J18" i="13"/>
  <c r="J26" i="13"/>
  <c r="J31" i="13"/>
  <c r="J27" i="13"/>
  <c r="J22" i="13"/>
  <c r="K12" i="13"/>
  <c r="K13" i="13" s="1"/>
  <c r="K18" i="13" l="1"/>
  <c r="K16" i="13"/>
  <c r="K14" i="13"/>
  <c r="K23" i="13"/>
  <c r="K22" i="13"/>
  <c r="K28" i="13"/>
  <c r="K27" i="13"/>
  <c r="K31" i="13"/>
  <c r="K32" i="13"/>
  <c r="K17" i="13"/>
  <c r="K24" i="13"/>
  <c r="K25" i="13"/>
  <c r="K26" i="13"/>
  <c r="K15" i="13"/>
  <c r="K21" i="13"/>
  <c r="L12" i="13"/>
  <c r="L13" i="13" s="1"/>
  <c r="L21" i="13" l="1"/>
  <c r="L25" i="13"/>
  <c r="L27" i="13"/>
  <c r="L16" i="13"/>
  <c r="L26" i="13"/>
  <c r="L17" i="13"/>
  <c r="L32" i="13"/>
  <c r="L15" i="13"/>
  <c r="L24" i="13"/>
  <c r="L22" i="13"/>
  <c r="L23" i="13"/>
  <c r="L28" i="13"/>
  <c r="L31" i="13"/>
  <c r="L14" i="13"/>
  <c r="L18" i="13"/>
  <c r="M12" i="13"/>
  <c r="M13" i="13" s="1"/>
  <c r="M16" i="13" l="1"/>
  <c r="M32" i="13"/>
  <c r="M31" i="13"/>
  <c r="M14" i="13"/>
  <c r="M15" i="13"/>
  <c r="M21" i="13"/>
  <c r="M18" i="13"/>
  <c r="M28" i="13"/>
  <c r="M23" i="13"/>
  <c r="M27" i="13"/>
  <c r="M26" i="13"/>
  <c r="M24" i="13"/>
  <c r="M17" i="13"/>
  <c r="M22" i="13"/>
  <c r="M25" i="13"/>
  <c r="N12" i="13"/>
  <c r="N13" i="13" s="1"/>
  <c r="N17" i="13" l="1"/>
  <c r="N27" i="13"/>
  <c r="N26" i="13"/>
  <c r="N21" i="13"/>
  <c r="N14" i="13"/>
  <c r="N31" i="13"/>
  <c r="N15" i="13"/>
  <c r="N28" i="13"/>
  <c r="N16" i="13"/>
  <c r="N32" i="13"/>
  <c r="N24" i="13"/>
  <c r="N25" i="13"/>
  <c r="N18" i="13"/>
  <c r="N23" i="13"/>
  <c r="N22" i="13"/>
  <c r="O12" i="13"/>
  <c r="O13" i="13" s="1"/>
  <c r="O18" i="13" l="1"/>
  <c r="O16" i="13"/>
  <c r="O23" i="13"/>
  <c r="O14" i="13"/>
  <c r="O28" i="13"/>
  <c r="O22" i="13"/>
  <c r="O15" i="13"/>
  <c r="O26" i="13"/>
  <c r="O21" i="13"/>
  <c r="O32" i="13"/>
  <c r="O17" i="13"/>
  <c r="O24" i="13"/>
  <c r="O25" i="13"/>
  <c r="O27" i="13"/>
  <c r="O31" i="13"/>
  <c r="X16" i="12"/>
  <c r="E16" i="12"/>
  <c r="E15" i="12"/>
  <c r="E14" i="12"/>
  <c r="E13" i="12"/>
  <c r="AL12" i="12"/>
  <c r="J12" i="12"/>
  <c r="J17" i="12" s="1"/>
  <c r="I17" i="12"/>
  <c r="E12" i="12"/>
  <c r="AZ9" i="12"/>
  <c r="E17" i="12" l="1"/>
  <c r="J13" i="12"/>
  <c r="L17" i="12"/>
  <c r="BA9" i="12"/>
  <c r="L12" i="12"/>
  <c r="C8" i="9"/>
  <c r="C23" i="14" s="1"/>
  <c r="L13" i="12" l="1"/>
  <c r="J14" i="12"/>
  <c r="BB9" i="12"/>
  <c r="BC9" i="12" l="1"/>
  <c r="L14" i="12"/>
  <c r="J15" i="12"/>
  <c r="J12" i="8"/>
  <c r="J17" i="8" s="1"/>
  <c r="L17" i="8" s="1"/>
  <c r="E16" i="8"/>
  <c r="F16" i="8" s="1"/>
  <c r="E15" i="8"/>
  <c r="F15" i="8" s="1"/>
  <c r="E14" i="8"/>
  <c r="F14" i="8" s="1"/>
  <c r="X16" i="8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G163" i="2"/>
  <c r="C164" i="2" s="1"/>
  <c r="U14" i="1"/>
  <c r="X46" i="1"/>
  <c r="S46" i="1"/>
  <c r="N46" i="1"/>
  <c r="I46" i="1"/>
  <c r="C46" i="1"/>
  <c r="AA40" i="1"/>
  <c r="Z40" i="1" s="1"/>
  <c r="AA31" i="1"/>
  <c r="Z31" i="1"/>
  <c r="AA30" i="1"/>
  <c r="Z30" i="1"/>
  <c r="AA29" i="1"/>
  <c r="Z29" i="1"/>
  <c r="AA28" i="1"/>
  <c r="Z28" i="1"/>
  <c r="AA27" i="1"/>
  <c r="Z27" i="1"/>
  <c r="AA26" i="1"/>
  <c r="Z26" i="1"/>
  <c r="AA25" i="1"/>
  <c r="Z25" i="1"/>
  <c r="AA24" i="1"/>
  <c r="Z24" i="1"/>
  <c r="AA23" i="1"/>
  <c r="Z23" i="1"/>
  <c r="AA22" i="1"/>
  <c r="Z22" i="1"/>
  <c r="AA21" i="1"/>
  <c r="Z21" i="1"/>
  <c r="X20" i="1"/>
  <c r="V40" i="1"/>
  <c r="U40" i="1" s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S20" i="1"/>
  <c r="Q40" i="1"/>
  <c r="P40" i="1" s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N20" i="1"/>
  <c r="L40" i="1"/>
  <c r="K40" i="1" s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I20" i="1"/>
  <c r="E11" i="1"/>
  <c r="C146" i="2"/>
  <c r="C145" i="2"/>
  <c r="C144" i="2"/>
  <c r="C143" i="2"/>
  <c r="C142" i="2"/>
  <c r="C141" i="2"/>
  <c r="C140" i="2"/>
  <c r="C139" i="2"/>
  <c r="C138" i="2"/>
  <c r="C137" i="2"/>
  <c r="F40" i="1"/>
  <c r="E40" i="1" s="1"/>
  <c r="C20" i="1"/>
  <c r="A99" i="2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N14" i="1"/>
  <c r="K14" i="1"/>
  <c r="F9" i="1" s="1"/>
  <c r="U34" i="2"/>
  <c r="T34" i="2"/>
  <c r="R34" i="2"/>
  <c r="Q34" i="2"/>
  <c r="O34" i="2"/>
  <c r="N34" i="2"/>
  <c r="L34" i="2"/>
  <c r="K34" i="2"/>
  <c r="I34" i="2"/>
  <c r="H34" i="2"/>
  <c r="Q13" i="1"/>
  <c r="Q12" i="1"/>
  <c r="Q10" i="1"/>
  <c r="D9" i="9"/>
  <c r="D94" i="2"/>
  <c r="E94" i="2" s="1"/>
  <c r="BD9" i="8"/>
  <c r="BE9" i="8" s="1"/>
  <c r="K87" i="2"/>
  <c r="K91" i="2" s="1"/>
  <c r="AP12" i="8"/>
  <c r="J13" i="1"/>
  <c r="J12" i="1"/>
  <c r="J11" i="1"/>
  <c r="J10" i="1"/>
  <c r="J9" i="1"/>
  <c r="H13" i="1"/>
  <c r="B12" i="14" s="1"/>
  <c r="B42" i="14" s="1"/>
  <c r="D16" i="8"/>
  <c r="H12" i="1"/>
  <c r="B11" i="14" s="1"/>
  <c r="B41" i="14" s="1"/>
  <c r="H11" i="1"/>
  <c r="B10" i="14" s="1"/>
  <c r="B40" i="14" s="1"/>
  <c r="H10" i="1"/>
  <c r="H9" i="1"/>
  <c r="J7" i="7"/>
  <c r="K7" i="7"/>
  <c r="A8" i="7"/>
  <c r="I8" i="7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J8" i="7"/>
  <c r="K8" i="7"/>
  <c r="L8" i="7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J9" i="7"/>
  <c r="K9" i="7"/>
  <c r="J10" i="7"/>
  <c r="K10" i="7"/>
  <c r="J11" i="7"/>
  <c r="K11" i="7"/>
  <c r="J12" i="7"/>
  <c r="K12" i="7"/>
  <c r="J13" i="7"/>
  <c r="K13" i="7"/>
  <c r="J14" i="7"/>
  <c r="K14" i="7"/>
  <c r="J15" i="7"/>
  <c r="K15" i="7"/>
  <c r="J16" i="7"/>
  <c r="K16" i="7"/>
  <c r="J17" i="7"/>
  <c r="K17" i="7"/>
  <c r="J18" i="7"/>
  <c r="K18" i="7"/>
  <c r="J19" i="7"/>
  <c r="K19" i="7"/>
  <c r="J20" i="7"/>
  <c r="K20" i="7"/>
  <c r="J21" i="7"/>
  <c r="K21" i="7"/>
  <c r="J22" i="7"/>
  <c r="K22" i="7"/>
  <c r="J23" i="7"/>
  <c r="K23" i="7"/>
  <c r="J24" i="7"/>
  <c r="K24" i="7"/>
  <c r="J25" i="7"/>
  <c r="K25" i="7"/>
  <c r="J26" i="7"/>
  <c r="K26" i="7"/>
  <c r="J27" i="7"/>
  <c r="K27" i="7"/>
  <c r="T99" i="2"/>
  <c r="T100" i="2" s="1"/>
  <c r="T101" i="2" s="1"/>
  <c r="T102" i="2" s="1"/>
  <c r="T103" i="2" s="1"/>
  <c r="T104" i="2" s="1"/>
  <c r="T105" i="2" s="1"/>
  <c r="T106" i="2" s="1"/>
  <c r="T107" i="2" s="1"/>
  <c r="T108" i="2" s="1"/>
  <c r="T109" i="2" s="1"/>
  <c r="T110" i="2" s="1"/>
  <c r="T111" i="2" s="1"/>
  <c r="R96" i="2"/>
  <c r="G37" i="2"/>
  <c r="B79" i="2"/>
  <c r="B75" i="2"/>
  <c r="B71" i="2"/>
  <c r="A60" i="2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B67" i="2"/>
  <c r="B63" i="2"/>
  <c r="B59" i="2"/>
  <c r="C46" i="2"/>
  <c r="P46" i="2" s="1"/>
  <c r="F31" i="1"/>
  <c r="F30" i="1"/>
  <c r="F29" i="1"/>
  <c r="F28" i="1"/>
  <c r="F27" i="1"/>
  <c r="F26" i="1"/>
  <c r="F25" i="1"/>
  <c r="F24" i="1"/>
  <c r="F23" i="1"/>
  <c r="F22" i="1"/>
  <c r="F21" i="1"/>
  <c r="E31" i="1"/>
  <c r="E30" i="1"/>
  <c r="E29" i="1"/>
  <c r="E28" i="1"/>
  <c r="E27" i="1"/>
  <c r="E26" i="1"/>
  <c r="E25" i="1"/>
  <c r="E24" i="1"/>
  <c r="E23" i="1"/>
  <c r="E22" i="1"/>
  <c r="E21" i="1"/>
  <c r="Q9" i="1"/>
  <c r="A9" i="7"/>
  <c r="J47" i="2" l="1"/>
  <c r="K14" i="8" s="1"/>
  <c r="D14" i="8"/>
  <c r="O47" i="2"/>
  <c r="K16" i="12" s="1"/>
  <c r="C49" i="2"/>
  <c r="D46" i="2"/>
  <c r="D49" i="2" s="1"/>
  <c r="I46" i="2"/>
  <c r="T9" i="1"/>
  <c r="I16" i="8"/>
  <c r="K33" i="1"/>
  <c r="K34" i="1" s="1"/>
  <c r="K35" i="1" s="1"/>
  <c r="F94" i="2"/>
  <c r="G94" i="2" s="1"/>
  <c r="H94" i="2" s="1"/>
  <c r="I94" i="2" s="1"/>
  <c r="AY12" i="12"/>
  <c r="BC12" i="8"/>
  <c r="BC11" i="8" s="1"/>
  <c r="I8" i="2"/>
  <c r="B6" i="14"/>
  <c r="B36" i="14" s="1"/>
  <c r="B8" i="14"/>
  <c r="B38" i="14" s="1"/>
  <c r="D12" i="12"/>
  <c r="D12" i="8"/>
  <c r="B9" i="14"/>
  <c r="B39" i="14" s="1"/>
  <c r="D13" i="12"/>
  <c r="T13" i="1"/>
  <c r="D16" i="12"/>
  <c r="L33" i="1"/>
  <c r="L34" i="1" s="1"/>
  <c r="L35" i="1" s="1"/>
  <c r="V33" i="1"/>
  <c r="V36" i="1" s="1"/>
  <c r="F15" i="12" s="1"/>
  <c r="G15" i="12" s="1"/>
  <c r="O15" i="12" s="1"/>
  <c r="Z33" i="1"/>
  <c r="P48" i="2" s="1"/>
  <c r="P52" i="2" s="1"/>
  <c r="T12" i="1"/>
  <c r="D15" i="12"/>
  <c r="C21" i="9"/>
  <c r="C31" i="14" s="1"/>
  <c r="T11" i="1"/>
  <c r="D14" i="12"/>
  <c r="I47" i="2"/>
  <c r="K14" i="12" s="1"/>
  <c r="O49" i="2"/>
  <c r="G46" i="2"/>
  <c r="F46" i="2"/>
  <c r="J46" i="2"/>
  <c r="C47" i="2"/>
  <c r="K12" i="12" s="1"/>
  <c r="P33" i="1"/>
  <c r="P36" i="1" s="1"/>
  <c r="G14" i="8" s="1"/>
  <c r="O14" i="8" s="1"/>
  <c r="U33" i="1"/>
  <c r="U36" i="1" s="1"/>
  <c r="G15" i="8" s="1"/>
  <c r="L49" i="2"/>
  <c r="F49" i="2"/>
  <c r="I49" i="2"/>
  <c r="M46" i="2"/>
  <c r="O46" i="2"/>
  <c r="L46" i="2"/>
  <c r="L47" i="2"/>
  <c r="K15" i="12" s="1"/>
  <c r="AA33" i="1"/>
  <c r="J16" i="12"/>
  <c r="L15" i="12"/>
  <c r="BD9" i="12"/>
  <c r="D47" i="2"/>
  <c r="K12" i="8" s="1"/>
  <c r="E33" i="1"/>
  <c r="T10" i="1"/>
  <c r="D13" i="8"/>
  <c r="F47" i="2"/>
  <c r="K13" i="12" s="1"/>
  <c r="Q33" i="1"/>
  <c r="J49" i="2"/>
  <c r="P49" i="2"/>
  <c r="M49" i="2"/>
  <c r="G49" i="2"/>
  <c r="F33" i="1"/>
  <c r="G48" i="2"/>
  <c r="K36" i="1"/>
  <c r="F13" i="8" s="1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O12" i="8"/>
  <c r="P47" i="2"/>
  <c r="D15" i="8"/>
  <c r="F11" i="1"/>
  <c r="R103" i="2"/>
  <c r="G47" i="2"/>
  <c r="K13" i="8" s="1"/>
  <c r="M47" i="2"/>
  <c r="K15" i="8" s="1"/>
  <c r="I17" i="2"/>
  <c r="R101" i="2"/>
  <c r="K93" i="2"/>
  <c r="K92" i="2"/>
  <c r="R105" i="2"/>
  <c r="K90" i="2"/>
  <c r="K88" i="2"/>
  <c r="R109" i="2"/>
  <c r="I15" i="2"/>
  <c r="I9" i="2"/>
  <c r="R104" i="2"/>
  <c r="R98" i="2"/>
  <c r="R111" i="2"/>
  <c r="I19" i="2"/>
  <c r="R99" i="2"/>
  <c r="K89" i="2"/>
  <c r="R107" i="2"/>
  <c r="I11" i="2"/>
  <c r="R110" i="2"/>
  <c r="I14" i="2"/>
  <c r="R106" i="2"/>
  <c r="R100" i="2"/>
  <c r="R108" i="2"/>
  <c r="R102" i="2"/>
  <c r="I12" i="2"/>
  <c r="I13" i="2"/>
  <c r="I16" i="2"/>
  <c r="I10" i="2"/>
  <c r="I6" i="2"/>
  <c r="I18" i="2"/>
  <c r="I7" i="2"/>
  <c r="L12" i="8"/>
  <c r="J13" i="8"/>
  <c r="J14" i="8" s="1"/>
  <c r="J15" i="8" s="1"/>
  <c r="E17" i="8"/>
  <c r="BF9" i="8"/>
  <c r="V12" i="1" l="1"/>
  <c r="R12" i="1"/>
  <c r="E17" i="14" s="1"/>
  <c r="L11" i="1"/>
  <c r="Y10" i="1"/>
  <c r="Z10" i="1" s="1"/>
  <c r="F15" i="14" s="1"/>
  <c r="Y12" i="1"/>
  <c r="Z12" i="1" s="1"/>
  <c r="F17" i="14" s="1"/>
  <c r="Y9" i="1"/>
  <c r="Z9" i="1" s="1"/>
  <c r="F14" i="14" s="1"/>
  <c r="Y13" i="1"/>
  <c r="Z13" i="1" s="1"/>
  <c r="F18" i="14" s="1"/>
  <c r="R10" i="1"/>
  <c r="E15" i="14" s="1"/>
  <c r="BD12" i="8"/>
  <c r="BE12" i="8" s="1"/>
  <c r="BF12" i="8" s="1"/>
  <c r="BG12" i="8" s="1"/>
  <c r="BH12" i="8" s="1"/>
  <c r="BI12" i="8" s="1"/>
  <c r="BJ12" i="8" s="1"/>
  <c r="BK12" i="8" s="1"/>
  <c r="BL12" i="8" s="1"/>
  <c r="BM12" i="8" s="1"/>
  <c r="BN12" i="8" s="1"/>
  <c r="BO12" i="8" s="1"/>
  <c r="BP12" i="8" s="1"/>
  <c r="F48" i="2"/>
  <c r="F50" i="2" s="1"/>
  <c r="F51" i="2" s="1"/>
  <c r="F53" i="2" s="1"/>
  <c r="L36" i="1"/>
  <c r="AK12" i="12"/>
  <c r="U34" i="1"/>
  <c r="U35" i="1" s="1"/>
  <c r="Z34" i="1"/>
  <c r="Z35" i="1" s="1"/>
  <c r="L48" i="2"/>
  <c r="AZ12" i="12"/>
  <c r="AY11" i="12"/>
  <c r="V34" i="1"/>
  <c r="V35" i="1" s="1"/>
  <c r="Z36" i="1"/>
  <c r="M15" i="8"/>
  <c r="M15" i="12"/>
  <c r="N15" i="12" s="1"/>
  <c r="P15" i="12" s="1"/>
  <c r="V10" i="1"/>
  <c r="F13" i="12"/>
  <c r="G13" i="12" s="1"/>
  <c r="O13" i="12" s="1"/>
  <c r="J48" i="2"/>
  <c r="J52" i="2" s="1"/>
  <c r="L12" i="1"/>
  <c r="P34" i="1"/>
  <c r="P35" i="1" s="1"/>
  <c r="M48" i="2"/>
  <c r="M50" i="2" s="1"/>
  <c r="M51" i="2" s="1"/>
  <c r="M53" i="2" s="1"/>
  <c r="O48" i="2"/>
  <c r="AA34" i="1"/>
  <c r="AA35" i="1" s="1"/>
  <c r="AA36" i="1"/>
  <c r="P50" i="2"/>
  <c r="P51" i="2" s="1"/>
  <c r="P53" i="2" s="1"/>
  <c r="K16" i="8"/>
  <c r="L16" i="12"/>
  <c r="BE9" i="12"/>
  <c r="G16" i="8"/>
  <c r="L10" i="1"/>
  <c r="G50" i="2"/>
  <c r="G51" i="2" s="1"/>
  <c r="G53" i="2" s="1"/>
  <c r="G52" i="2"/>
  <c r="L50" i="2"/>
  <c r="L51" i="2" s="1"/>
  <c r="L53" i="2" s="1"/>
  <c r="L52" i="2"/>
  <c r="E36" i="1"/>
  <c r="F12" i="8" s="1"/>
  <c r="E34" i="1"/>
  <c r="E35" i="1" s="1"/>
  <c r="F36" i="1"/>
  <c r="F12" i="12" s="1"/>
  <c r="F34" i="1"/>
  <c r="F35" i="1" s="1"/>
  <c r="Q34" i="1"/>
  <c r="Q35" i="1" s="1"/>
  <c r="Q36" i="1"/>
  <c r="I48" i="2"/>
  <c r="M52" i="2"/>
  <c r="M14" i="8"/>
  <c r="O15" i="8"/>
  <c r="L14" i="8"/>
  <c r="L13" i="8"/>
  <c r="BG9" i="8"/>
  <c r="L15" i="8"/>
  <c r="J16" i="8"/>
  <c r="BF11" i="8" l="1"/>
  <c r="F52" i="2"/>
  <c r="BD11" i="8"/>
  <c r="BE11" i="8"/>
  <c r="J50" i="2"/>
  <c r="J51" i="2" s="1"/>
  <c r="J53" i="2" s="1"/>
  <c r="BA12" i="12"/>
  <c r="AZ11" i="12"/>
  <c r="L13" i="1"/>
  <c r="N15" i="8"/>
  <c r="P15" i="8" s="1"/>
  <c r="R15" i="8" s="1"/>
  <c r="R15" i="12"/>
  <c r="S15" i="12"/>
  <c r="M13" i="12"/>
  <c r="N13" i="12" s="1"/>
  <c r="P13" i="12" s="1"/>
  <c r="R13" i="12" s="1"/>
  <c r="O52" i="2"/>
  <c r="O50" i="2"/>
  <c r="O51" i="2" s="1"/>
  <c r="O53" i="2" s="1"/>
  <c r="G12" i="12"/>
  <c r="Q15" i="12"/>
  <c r="V11" i="1"/>
  <c r="F14" i="12"/>
  <c r="G14" i="12" s="1"/>
  <c r="M16" i="8"/>
  <c r="V13" i="1"/>
  <c r="F16" i="12"/>
  <c r="G16" i="12" s="1"/>
  <c r="BF9" i="12"/>
  <c r="O16" i="8"/>
  <c r="L9" i="1"/>
  <c r="D48" i="2"/>
  <c r="G12" i="8"/>
  <c r="I50" i="2"/>
  <c r="I51" i="2" s="1"/>
  <c r="I53" i="2" s="1"/>
  <c r="I52" i="2"/>
  <c r="V9" i="1"/>
  <c r="C48" i="2"/>
  <c r="N48" i="1"/>
  <c r="N47" i="1"/>
  <c r="X47" i="1"/>
  <c r="X48" i="1"/>
  <c r="N14" i="8"/>
  <c r="P14" i="8" s="1"/>
  <c r="R14" i="8" s="1"/>
  <c r="BG11" i="8"/>
  <c r="BH9" i="8"/>
  <c r="L16" i="8"/>
  <c r="S15" i="8" l="1"/>
  <c r="Q15" i="8"/>
  <c r="L14" i="1"/>
  <c r="BB12" i="12"/>
  <c r="BA11" i="12"/>
  <c r="N16" i="8"/>
  <c r="P16" i="8" s="1"/>
  <c r="S16" i="8" s="1"/>
  <c r="U15" i="12"/>
  <c r="V15" i="12" s="1"/>
  <c r="S13" i="12"/>
  <c r="Q13" i="12"/>
  <c r="M14" i="12"/>
  <c r="N14" i="12" s="1"/>
  <c r="P14" i="12" s="1"/>
  <c r="O14" i="12"/>
  <c r="O12" i="12"/>
  <c r="G17" i="12"/>
  <c r="M17" i="12" s="1"/>
  <c r="M12" i="12"/>
  <c r="N12" i="12" s="1"/>
  <c r="P12" i="12" s="1"/>
  <c r="O16" i="12"/>
  <c r="M16" i="12"/>
  <c r="N16" i="12" s="1"/>
  <c r="P16" i="12" s="1"/>
  <c r="K17" i="12"/>
  <c r="BG9" i="12"/>
  <c r="C50" i="2"/>
  <c r="C51" i="2" s="1"/>
  <c r="C53" i="2" s="1"/>
  <c r="C52" i="2"/>
  <c r="M12" i="8"/>
  <c r="N12" i="8" s="1"/>
  <c r="P12" i="8" s="1"/>
  <c r="O12" i="8"/>
  <c r="V14" i="1"/>
  <c r="F12" i="1"/>
  <c r="E14" i="1" s="1"/>
  <c r="D14" i="1" s="1"/>
  <c r="D44" i="14" s="1"/>
  <c r="D52" i="2"/>
  <c r="D50" i="2"/>
  <c r="D51" i="2" s="1"/>
  <c r="D53" i="2" s="1"/>
  <c r="C47" i="1"/>
  <c r="C48" i="1"/>
  <c r="I48" i="1"/>
  <c r="I47" i="1"/>
  <c r="S48" i="1"/>
  <c r="S47" i="1"/>
  <c r="S14" i="8"/>
  <c r="Q14" i="8"/>
  <c r="U15" i="8"/>
  <c r="V15" i="8" s="1"/>
  <c r="BI9" i="8"/>
  <c r="BH11" i="8"/>
  <c r="R16" i="8" l="1"/>
  <c r="Q16" i="8"/>
  <c r="BC12" i="12"/>
  <c r="BB11" i="12"/>
  <c r="U13" i="12"/>
  <c r="V13" i="12" s="1"/>
  <c r="P11" i="1"/>
  <c r="I14" i="8" s="1"/>
  <c r="J5" i="13"/>
  <c r="J6" i="13" s="1"/>
  <c r="J7" i="13" s="1"/>
  <c r="R12" i="12"/>
  <c r="S12" i="12"/>
  <c r="Q12" i="12"/>
  <c r="R16" i="12"/>
  <c r="Q16" i="12"/>
  <c r="S16" i="12"/>
  <c r="N17" i="12"/>
  <c r="P17" i="12" s="1"/>
  <c r="T17" i="12"/>
  <c r="O17" i="12"/>
  <c r="S14" i="12"/>
  <c r="R14" i="12"/>
  <c r="Q14" i="12"/>
  <c r="BH9" i="12"/>
  <c r="U14" i="8"/>
  <c r="V14" i="8" s="1"/>
  <c r="S12" i="8"/>
  <c r="R12" i="8"/>
  <c r="Q12" i="8"/>
  <c r="J55" i="2"/>
  <c r="M56" i="2"/>
  <c r="J54" i="2"/>
  <c r="G56" i="2"/>
  <c r="M55" i="2"/>
  <c r="D55" i="2"/>
  <c r="P56" i="2"/>
  <c r="J56" i="2"/>
  <c r="D54" i="2"/>
  <c r="G55" i="2"/>
  <c r="D56" i="2"/>
  <c r="M54" i="2"/>
  <c r="G54" i="2"/>
  <c r="P54" i="2"/>
  <c r="P55" i="2"/>
  <c r="P44" i="2" s="1"/>
  <c r="U35" i="2" s="1"/>
  <c r="U37" i="2" s="1"/>
  <c r="L54" i="2"/>
  <c r="F54" i="2"/>
  <c r="O56" i="2"/>
  <c r="O54" i="2"/>
  <c r="L56" i="2"/>
  <c r="C55" i="2"/>
  <c r="F56" i="2"/>
  <c r="I56" i="2"/>
  <c r="I54" i="2"/>
  <c r="L55" i="2"/>
  <c r="I55" i="2"/>
  <c r="C56" i="2"/>
  <c r="O55" i="2"/>
  <c r="C54" i="2"/>
  <c r="F55" i="2"/>
  <c r="Q11" i="1"/>
  <c r="BJ9" i="8"/>
  <c r="BI11" i="8"/>
  <c r="U16" i="8"/>
  <c r="V16" i="8" s="1"/>
  <c r="BD12" i="12" l="1"/>
  <c r="BC11" i="12"/>
  <c r="X11" i="1"/>
  <c r="D16" i="14"/>
  <c r="U12" i="12"/>
  <c r="V12" i="12" s="1"/>
  <c r="G44" i="2"/>
  <c r="L35" i="2" s="1"/>
  <c r="L37" i="2" s="1"/>
  <c r="L44" i="2"/>
  <c r="Q35" i="2" s="1"/>
  <c r="Q37" i="2" s="1"/>
  <c r="U16" i="12"/>
  <c r="V16" i="12" s="1"/>
  <c r="U14" i="12"/>
  <c r="V14" i="12" s="1"/>
  <c r="S17" i="12"/>
  <c r="R17" i="12"/>
  <c r="Q17" i="12"/>
  <c r="P14" i="1"/>
  <c r="I44" i="2"/>
  <c r="N35" i="2" s="1"/>
  <c r="N37" i="2" s="1"/>
  <c r="J44" i="2"/>
  <c r="O35" i="2" s="1"/>
  <c r="O37" i="2" s="1"/>
  <c r="BI9" i="12"/>
  <c r="U12" i="8"/>
  <c r="V12" i="8" s="1"/>
  <c r="M44" i="2"/>
  <c r="R35" i="2" s="1"/>
  <c r="R37" i="2" s="1"/>
  <c r="Q14" i="1"/>
  <c r="F10" i="1" s="1"/>
  <c r="E13" i="1" s="1"/>
  <c r="D13" i="1" s="1"/>
  <c r="C44" i="2"/>
  <c r="O44" i="2"/>
  <c r="T35" i="2" s="1"/>
  <c r="T37" i="2" s="1"/>
  <c r="F44" i="2"/>
  <c r="K35" i="2" s="1"/>
  <c r="K37" i="2" s="1"/>
  <c r="D44" i="2"/>
  <c r="I35" i="2" s="1"/>
  <c r="I37" i="2" s="1"/>
  <c r="BJ11" i="8"/>
  <c r="BK9" i="8"/>
  <c r="C5" i="9" l="1"/>
  <c r="E25" i="9" s="1"/>
  <c r="D20" i="14"/>
  <c r="C26" i="14" s="1"/>
  <c r="BE12" i="12"/>
  <c r="BD11" i="12"/>
  <c r="R11" i="1"/>
  <c r="E16" i="14" s="1"/>
  <c r="Y11" i="1"/>
  <c r="Z11" i="1" s="1"/>
  <c r="F16" i="14" s="1"/>
  <c r="U17" i="12"/>
  <c r="V17" i="12" s="1"/>
  <c r="BJ9" i="12"/>
  <c r="I17" i="8"/>
  <c r="P39" i="1"/>
  <c r="P42" i="1" s="1"/>
  <c r="D10" i="14" s="1"/>
  <c r="Z39" i="1"/>
  <c r="Z42" i="1" s="1"/>
  <c r="D12" i="14" s="1"/>
  <c r="U39" i="1"/>
  <c r="U42" i="1" s="1"/>
  <c r="D11" i="14" s="1"/>
  <c r="E39" i="1"/>
  <c r="E42" i="1" s="1"/>
  <c r="K39" i="1"/>
  <c r="C30" i="2"/>
  <c r="H35" i="2"/>
  <c r="H37" i="2" s="1"/>
  <c r="BL9" i="8"/>
  <c r="BK11" i="8"/>
  <c r="C26" i="9" l="1"/>
  <c r="C30" i="14" s="1"/>
  <c r="C30" i="9"/>
  <c r="E30" i="9" s="1"/>
  <c r="C17" i="9"/>
  <c r="C16" i="9"/>
  <c r="D5" i="9"/>
  <c r="D32" i="9" s="1"/>
  <c r="Y12" i="12"/>
  <c r="BF12" i="12"/>
  <c r="BE11" i="12"/>
  <c r="P44" i="1"/>
  <c r="P46" i="1" s="1"/>
  <c r="E10" i="14" s="1"/>
  <c r="U44" i="1"/>
  <c r="U47" i="1" s="1"/>
  <c r="U48" i="1" s="1"/>
  <c r="F11" i="14" s="1"/>
  <c r="Z44" i="1"/>
  <c r="E44" i="1"/>
  <c r="E47" i="1" s="1"/>
  <c r="E48" i="1" s="1"/>
  <c r="F8" i="14" s="1"/>
  <c r="D8" i="14"/>
  <c r="K42" i="1"/>
  <c r="Z47" i="1"/>
  <c r="Z48" i="1" s="1"/>
  <c r="F12" i="14" s="1"/>
  <c r="Z46" i="1"/>
  <c r="E12" i="14" s="1"/>
  <c r="BK9" i="12"/>
  <c r="V39" i="1"/>
  <c r="V42" i="1" s="1"/>
  <c r="D41" i="14" s="1"/>
  <c r="L39" i="1"/>
  <c r="L42" i="1" s="1"/>
  <c r="Q39" i="1"/>
  <c r="Q42" i="1" s="1"/>
  <c r="D40" i="14" s="1"/>
  <c r="F39" i="1"/>
  <c r="F42" i="1" s="1"/>
  <c r="AA39" i="1"/>
  <c r="AA42" i="1" s="1"/>
  <c r="D42" i="14" s="1"/>
  <c r="BM9" i="8"/>
  <c r="BL11" i="8"/>
  <c r="P47" i="1" l="1"/>
  <c r="P48" i="1" s="1"/>
  <c r="F10" i="14" s="1"/>
  <c r="E5" i="9"/>
  <c r="D30" i="9"/>
  <c r="C34" i="9" s="1"/>
  <c r="D34" i="9" s="1"/>
  <c r="AA44" i="1"/>
  <c r="F44" i="1"/>
  <c r="F46" i="1" s="1"/>
  <c r="D38" i="14"/>
  <c r="Q44" i="1"/>
  <c r="Q46" i="1" s="1"/>
  <c r="E40" i="14" s="1"/>
  <c r="L44" i="1"/>
  <c r="L46" i="1" s="1"/>
  <c r="E39" i="14" s="1"/>
  <c r="D39" i="14"/>
  <c r="V44" i="1"/>
  <c r="V46" i="1" s="1"/>
  <c r="E41" i="14" s="1"/>
  <c r="BG12" i="12"/>
  <c r="BF11" i="12"/>
  <c r="H24" i="13"/>
  <c r="G14" i="13"/>
  <c r="G24" i="13"/>
  <c r="H14" i="13"/>
  <c r="E46" i="1"/>
  <c r="E8" i="14" s="1"/>
  <c r="U46" i="1"/>
  <c r="E11" i="14" s="1"/>
  <c r="K44" i="1"/>
  <c r="K46" i="1" s="1"/>
  <c r="E9" i="14" s="1"/>
  <c r="D9" i="14"/>
  <c r="G13" i="8"/>
  <c r="K17" i="8"/>
  <c r="AA47" i="1"/>
  <c r="AA48" i="1" s="1"/>
  <c r="F42" i="14" s="1"/>
  <c r="AA46" i="1"/>
  <c r="E42" i="14" s="1"/>
  <c r="V47" i="1"/>
  <c r="V48" i="1" s="1"/>
  <c r="F41" i="14" s="1"/>
  <c r="L47" i="1"/>
  <c r="L48" i="1" s="1"/>
  <c r="F39" i="14" s="1"/>
  <c r="K47" i="1"/>
  <c r="K48" i="1" s="1"/>
  <c r="F9" i="14" s="1"/>
  <c r="BL9" i="12"/>
  <c r="BN9" i="8"/>
  <c r="BM11" i="8"/>
  <c r="Q47" i="1" l="1"/>
  <c r="Q48" i="1" s="1"/>
  <c r="F40" i="14" s="1"/>
  <c r="BH12" i="12"/>
  <c r="BG11" i="12"/>
  <c r="F47" i="1"/>
  <c r="F48" i="1" s="1"/>
  <c r="F38" i="14" s="1"/>
  <c r="E38" i="14"/>
  <c r="H15" i="13"/>
  <c r="H16" i="13" s="1"/>
  <c r="H17" i="13"/>
  <c r="H18" i="13" s="1"/>
  <c r="H21" i="13" s="1"/>
  <c r="G25" i="13"/>
  <c r="G26" i="13" s="1"/>
  <c r="G27" i="13"/>
  <c r="G28" i="13" s="1"/>
  <c r="G31" i="13" s="1"/>
  <c r="G32" i="13" s="1"/>
  <c r="G15" i="13"/>
  <c r="G16" i="13" s="1"/>
  <c r="G17" i="13" s="1"/>
  <c r="G18" i="13" s="1"/>
  <c r="G21" i="13" s="1"/>
  <c r="H25" i="13"/>
  <c r="H26" i="13" s="1"/>
  <c r="H27" i="13"/>
  <c r="H28" i="13" s="1"/>
  <c r="H31" i="13" s="1"/>
  <c r="H32" i="13" s="1"/>
  <c r="M13" i="8"/>
  <c r="N13" i="8" s="1"/>
  <c r="P13" i="8" s="1"/>
  <c r="O13" i="8"/>
  <c r="G17" i="8"/>
  <c r="BN11" i="8"/>
  <c r="BO9" i="8"/>
  <c r="BI12" i="12" l="1"/>
  <c r="BH11" i="12"/>
  <c r="M17" i="8"/>
  <c r="N17" i="8" s="1"/>
  <c r="P17" i="8" s="1"/>
  <c r="O17" i="8"/>
  <c r="T17" i="8"/>
  <c r="S13" i="8"/>
  <c r="Q13" i="8"/>
  <c r="R13" i="8"/>
  <c r="BO11" i="8"/>
  <c r="BP9" i="8"/>
  <c r="BP11" i="8" s="1"/>
  <c r="BJ12" i="12" l="1"/>
  <c r="BI11" i="12"/>
  <c r="Z12" i="12" s="1"/>
  <c r="AA12" i="12" s="1"/>
  <c r="U13" i="8"/>
  <c r="V13" i="8" s="1"/>
  <c r="Q17" i="8"/>
  <c r="S17" i="8"/>
  <c r="R17" i="8"/>
  <c r="BK12" i="12" l="1"/>
  <c r="BJ11" i="12"/>
  <c r="AY13" i="12"/>
  <c r="AY14" i="12" s="1"/>
  <c r="BO9" i="12" s="1"/>
  <c r="T4" i="12" s="1"/>
  <c r="U17" i="8"/>
  <c r="Y12" i="8" s="1"/>
  <c r="Z12" i="8" s="1"/>
  <c r="AA12" i="8" s="1"/>
  <c r="E44" i="14" l="1"/>
  <c r="AF17" i="12"/>
  <c r="AG17" i="12" s="1"/>
  <c r="AI17" i="12" s="1"/>
  <c r="AX17" i="12" s="1"/>
  <c r="D4" i="12" s="1"/>
  <c r="P5" i="13" s="1"/>
  <c r="P6" i="13" s="1"/>
  <c r="P7" i="13" s="1"/>
  <c r="BI13" i="12"/>
  <c r="BI14" i="12" s="1"/>
  <c r="BY9" i="12" s="1"/>
  <c r="AF4" i="12" s="1"/>
  <c r="BK13" i="12"/>
  <c r="BK14" i="12" s="1"/>
  <c r="CA9" i="12" s="1"/>
  <c r="AH4" i="12" s="1"/>
  <c r="BE13" i="12"/>
  <c r="BE14" i="12" s="1"/>
  <c r="BU9" i="12" s="1"/>
  <c r="AA4" i="12" s="1"/>
  <c r="BG13" i="12"/>
  <c r="BG14" i="12" s="1"/>
  <c r="BW9" i="12" s="1"/>
  <c r="AC4" i="12" s="1"/>
  <c r="BJ13" i="12"/>
  <c r="BJ14" i="12" s="1"/>
  <c r="BZ9" i="12" s="1"/>
  <c r="AG4" i="12" s="1"/>
  <c r="BA13" i="12"/>
  <c r="BA14" i="12" s="1"/>
  <c r="BQ9" i="12" s="1"/>
  <c r="V4" i="12" s="1"/>
  <c r="BC13" i="12"/>
  <c r="BC14" i="12" s="1"/>
  <c r="BS9" i="12" s="1"/>
  <c r="Y4" i="12" s="1"/>
  <c r="BH13" i="12"/>
  <c r="BH14" i="12" s="1"/>
  <c r="BX9" i="12" s="1"/>
  <c r="AE4" i="12" s="1"/>
  <c r="AZ13" i="12"/>
  <c r="AZ14" i="12" s="1"/>
  <c r="BP9" i="12" s="1"/>
  <c r="U4" i="12" s="1"/>
  <c r="AB12" i="12"/>
  <c r="BL13" i="12"/>
  <c r="BL14" i="12" s="1"/>
  <c r="CB9" i="12" s="1"/>
  <c r="AI4" i="12" s="1"/>
  <c r="BF13" i="12"/>
  <c r="BF14" i="12" s="1"/>
  <c r="BV9" i="12" s="1"/>
  <c r="AB4" i="12" s="1"/>
  <c r="BB13" i="12"/>
  <c r="BB14" i="12" s="1"/>
  <c r="BR9" i="12" s="1"/>
  <c r="X4" i="12" s="1"/>
  <c r="BD13" i="12"/>
  <c r="BD14" i="12" s="1"/>
  <c r="BT9" i="12" s="1"/>
  <c r="Z4" i="12" s="1"/>
  <c r="BL12" i="12"/>
  <c r="BL11" i="12" s="1"/>
  <c r="BK11" i="12"/>
  <c r="V17" i="8"/>
  <c r="E20" i="14"/>
  <c r="BC13" i="8"/>
  <c r="BC14" i="8" s="1"/>
  <c r="BS9" i="8" s="1"/>
  <c r="T4" i="8" s="1"/>
  <c r="I21" i="9" s="1"/>
  <c r="AT12" i="12" l="1"/>
  <c r="AC12" i="12"/>
  <c r="AR12" i="12"/>
  <c r="AN12" i="12"/>
  <c r="E24" i="13"/>
  <c r="E25" i="13" s="1"/>
  <c r="E26" i="13" s="1"/>
  <c r="E27" i="13" s="1"/>
  <c r="E28" i="13" s="1"/>
  <c r="E31" i="13" s="1"/>
  <c r="E32" i="13" s="1"/>
  <c r="D14" i="13"/>
  <c r="D15" i="13" s="1"/>
  <c r="D16" i="13" s="1"/>
  <c r="D17" i="13" s="1"/>
  <c r="D18" i="13" s="1"/>
  <c r="D21" i="13" s="1"/>
  <c r="D22" i="13" s="1"/>
  <c r="F24" i="13"/>
  <c r="F25" i="13" s="1"/>
  <c r="F26" i="13" s="1"/>
  <c r="F27" i="13" s="1"/>
  <c r="F28" i="13" s="1"/>
  <c r="F31" i="13" s="1"/>
  <c r="F32" i="13" s="1"/>
  <c r="D24" i="13"/>
  <c r="D25" i="13" s="1"/>
  <c r="D26" i="13" s="1"/>
  <c r="D27" i="13" s="1"/>
  <c r="D28" i="13" s="1"/>
  <c r="D31" i="13" s="1"/>
  <c r="D32" i="13" s="1"/>
  <c r="E14" i="13"/>
  <c r="E15" i="13" s="1"/>
  <c r="E16" i="13" s="1"/>
  <c r="E17" i="13" s="1"/>
  <c r="E18" i="13" s="1"/>
  <c r="E21" i="13" s="1"/>
  <c r="E22" i="13" s="1"/>
  <c r="V4" i="13"/>
  <c r="F14" i="13"/>
  <c r="F15" i="13" s="1"/>
  <c r="F16" i="13" s="1"/>
  <c r="F17" i="13" s="1"/>
  <c r="F18" i="13" s="1"/>
  <c r="F21" i="13" s="1"/>
  <c r="F22" i="13" s="1"/>
  <c r="AB12" i="8"/>
  <c r="BP13" i="8"/>
  <c r="BP14" i="8" s="1"/>
  <c r="CF9" i="8" s="1"/>
  <c r="AI4" i="8" s="1"/>
  <c r="I38" i="9" s="1"/>
  <c r="BL13" i="8"/>
  <c r="BL14" i="8" s="1"/>
  <c r="CB9" i="8" s="1"/>
  <c r="AE4" i="8" s="1"/>
  <c r="I33" i="9" s="1"/>
  <c r="BF13" i="8"/>
  <c r="BF14" i="8" s="1"/>
  <c r="BV9" i="8" s="1"/>
  <c r="X4" i="8" s="1"/>
  <c r="I25" i="9" s="1"/>
  <c r="BD13" i="8"/>
  <c r="BD14" i="8" s="1"/>
  <c r="BT9" i="8" s="1"/>
  <c r="U4" i="8" s="1"/>
  <c r="I22" i="9" s="1"/>
  <c r="BK13" i="8"/>
  <c r="BK14" i="8" s="1"/>
  <c r="CA9" i="8" s="1"/>
  <c r="AC4" i="8" s="1"/>
  <c r="I32" i="9" s="1"/>
  <c r="BE13" i="8"/>
  <c r="BE14" i="8" s="1"/>
  <c r="BU9" i="8" s="1"/>
  <c r="V4" i="8" s="1"/>
  <c r="I23" i="9" s="1"/>
  <c r="BJ13" i="8"/>
  <c r="BJ14" i="8" s="1"/>
  <c r="BZ9" i="8" s="1"/>
  <c r="AB4" i="8" s="1"/>
  <c r="I30" i="9" s="1"/>
  <c r="BI13" i="8"/>
  <c r="BI14" i="8" s="1"/>
  <c r="BY9" i="8" s="1"/>
  <c r="AA4" i="8" s="1"/>
  <c r="I29" i="9" s="1"/>
  <c r="BH13" i="8"/>
  <c r="BH14" i="8" s="1"/>
  <c r="BX9" i="8" s="1"/>
  <c r="Z4" i="8" s="1"/>
  <c r="I28" i="9" s="1"/>
  <c r="BG13" i="8"/>
  <c r="BG14" i="8" s="1"/>
  <c r="BW9" i="8" s="1"/>
  <c r="Y4" i="8" s="1"/>
  <c r="I26" i="9" s="1"/>
  <c r="BM13" i="8"/>
  <c r="BM14" i="8" s="1"/>
  <c r="CC9" i="8" s="1"/>
  <c r="AF4" i="8" s="1"/>
  <c r="I34" i="9" s="1"/>
  <c r="BO13" i="8"/>
  <c r="BO14" i="8" s="1"/>
  <c r="CE9" i="8" s="1"/>
  <c r="AH4" i="8" s="1"/>
  <c r="I36" i="9" s="1"/>
  <c r="BN13" i="8"/>
  <c r="BN14" i="8" s="1"/>
  <c r="CD9" i="8" s="1"/>
  <c r="AG4" i="8" s="1"/>
  <c r="I35" i="9" s="1"/>
  <c r="V5" i="13" l="1"/>
  <c r="F44" i="14"/>
  <c r="AS12" i="12"/>
  <c r="AM12" i="12"/>
  <c r="AU12" i="12" s="1"/>
  <c r="AR12" i="8"/>
  <c r="AV12" i="8"/>
  <c r="AX12" i="8"/>
  <c r="AC12" i="8"/>
  <c r="F20" i="14" s="1"/>
  <c r="AW12" i="8" l="1"/>
  <c r="AQ12" i="8"/>
  <c r="AY12" i="8" s="1"/>
  <c r="C7" i="9"/>
  <c r="E7" i="9"/>
  <c r="E8" i="9"/>
  <c r="E9" i="9"/>
  <c r="E10" i="9"/>
  <c r="C12" i="9"/>
  <c r="D12" i="9"/>
  <c r="C28" i="9"/>
  <c r="D28" i="9"/>
  <c r="C29" i="9"/>
  <c r="D29" i="9"/>
  <c r="C38" i="9"/>
  <c r="C22" i="14"/>
  <c r="C25" i="14"/>
  <c r="C32" i="14"/>
  <c r="D6" i="12"/>
  <c r="AE12" i="12"/>
  <c r="AF12" i="12"/>
  <c r="AG12" i="12"/>
  <c r="AH12" i="12"/>
  <c r="AI12" i="12"/>
  <c r="AO12" i="12"/>
  <c r="AP12" i="12"/>
  <c r="AQ12" i="12"/>
  <c r="AV12" i="12"/>
  <c r="AW12" i="12"/>
  <c r="D5" i="8"/>
  <c r="D6" i="8"/>
  <c r="AE12" i="8"/>
  <c r="AF12" i="8"/>
  <c r="AG12" i="8"/>
  <c r="AH12" i="8"/>
  <c r="AI12" i="8"/>
  <c r="AL12" i="8"/>
  <c r="AM12" i="8"/>
  <c r="AS12" i="8"/>
  <c r="AT12" i="8"/>
  <c r="AU12" i="8"/>
  <c r="AZ12" i="8"/>
  <c r="BA1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Propietario</author>
  </authors>
  <commentList>
    <comment ref="D8" authorId="0" shapeId="0" xr:uid="{00000000-0006-0000-0100-000001000000}">
      <text>
        <r>
          <rPr>
            <b/>
            <u/>
            <sz val="9"/>
            <color indexed="81"/>
            <rFont val="Tahoma"/>
            <family val="2"/>
          </rPr>
          <t>Agua Fria:</t>
        </r>
        <r>
          <rPr>
            <b/>
            <sz val="9"/>
            <color indexed="81"/>
            <rFont val="Tahoma"/>
            <family val="2"/>
          </rPr>
          <t xml:space="preserve">
10 a 15ºC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00000000-0006-0000-0100-000002000000}">
      <text>
        <r>
          <rPr>
            <b/>
            <u/>
            <sz val="9"/>
            <color indexed="81"/>
            <rFont val="Tahoma"/>
            <family val="2"/>
          </rPr>
          <t>Agua Fria:</t>
        </r>
        <r>
          <rPr>
            <b/>
            <sz val="9"/>
            <color indexed="81"/>
            <rFont val="Tahoma"/>
            <family val="2"/>
          </rPr>
          <t xml:space="preserve">
10 a 15ºC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Mínimo 0,5 m/s
C</t>
        </r>
        <r>
          <rPr>
            <b/>
            <u/>
            <sz val="9"/>
            <color indexed="81"/>
            <rFont val="Tahoma"/>
            <family val="2"/>
          </rPr>
          <t>obre:</t>
        </r>
        <r>
          <rPr>
            <b/>
            <sz val="9"/>
            <color indexed="81"/>
            <rFont val="Tahoma"/>
            <family val="2"/>
          </rPr>
          <t xml:space="preserve">
max 2,00 m/s,  en general 1,5 m/s
</t>
        </r>
        <r>
          <rPr>
            <b/>
            <u/>
            <sz val="9"/>
            <color indexed="81"/>
            <rFont val="Tahoma"/>
            <family val="2"/>
          </rPr>
          <t>Termoplasticos:</t>
        </r>
        <r>
          <rPr>
            <b/>
            <sz val="9"/>
            <color indexed="81"/>
            <rFont val="Tahoma"/>
            <family val="2"/>
          </rPr>
          <t xml:space="preserve">
max 3,5 m/s, en general 3,0 m/s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Cobre:</t>
        </r>
        <r>
          <rPr>
            <b/>
            <sz val="9"/>
            <color indexed="81"/>
            <rFont val="Tahoma"/>
            <family val="2"/>
          </rPr>
          <t xml:space="preserve">
Se limita la velocidad a 2 m/s
</t>
        </r>
        <r>
          <rPr>
            <b/>
            <u/>
            <sz val="9"/>
            <color indexed="81"/>
            <rFont val="Tahoma"/>
            <family val="2"/>
          </rPr>
          <t>Termoplastico:</t>
        </r>
        <r>
          <rPr>
            <b/>
            <sz val="9"/>
            <color indexed="81"/>
            <rFont val="Tahoma"/>
            <family val="2"/>
          </rPr>
          <t xml:space="preserve">
Se limita la velocidad a 3,5 m/s
Por lo general se emplea Series 5 de PEX, con Pres. de diseño de 6 bar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Propietario</author>
  </authors>
  <commentList>
    <comment ref="D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Presión residual en suministro:</t>
        </r>
        <r>
          <rPr>
            <sz val="9"/>
            <color indexed="81"/>
            <rFont val="Tahoma"/>
            <family val="2"/>
          </rPr>
          <t xml:space="preserve">
Grifos 1 bar
Fluxores 1,5 bar
</t>
        </r>
      </text>
    </comment>
    <comment ref="D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Máximo 5 bares en puntos de suministro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Recomendable:
</t>
        </r>
        <r>
          <rPr>
            <sz val="9"/>
            <color indexed="81"/>
            <rFont val="Tahoma"/>
            <family val="2"/>
          </rPr>
          <t>Distribuidores:    2,5 a 3,5
Montantes:        2,0 a 2,5
Derivaciones:      1,5 a 2,0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Propietario</author>
  </authors>
  <commentList>
    <comment ref="C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Altura desde la salida de la bomba hasta el último punto de consumo</t>
        </r>
      </text>
    </comment>
    <comment ref="C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Grifos 1 bar
Fluxores 1,5 bar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Por defecto 1 mca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Por defecto 10%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Según UNE 149202 </t>
        </r>
        <r>
          <rPr>
            <sz val="9"/>
            <color indexed="81"/>
            <rFont val="Tahoma"/>
            <family val="2"/>
          </rPr>
          <t xml:space="preserve">si
     -Qs&lt;=3 l/s  y
     -P(kW) bomba&lt;=4   
no es necesaria bomba en reserva.  
En el resto de casos al menos 1 bomba en reserva similar a las principales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Propietario</author>
  </authors>
  <commentList>
    <comment ref="X1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Recomendable:
</t>
        </r>
        <r>
          <rPr>
            <sz val="9"/>
            <color indexed="81"/>
            <rFont val="Tahoma"/>
            <family val="2"/>
          </rPr>
          <t>Distribuidores:    2,5 a 3,5
Montantes:        2,0 a 2,5
Derivaciones:      1,5 a 2,0</t>
        </r>
      </text>
    </comment>
  </commentList>
</comments>
</file>

<file path=xl/sharedStrings.xml><?xml version="1.0" encoding="utf-8"?>
<sst xmlns="http://schemas.openxmlformats.org/spreadsheetml/2006/main" count="954" uniqueCount="425">
  <si>
    <t>HS4 tabla 2.1 Caudal Instantáneo mínimo por tipo de aparato</t>
  </si>
  <si>
    <t>Tipo de aparato</t>
  </si>
  <si>
    <t>Caudal AF   (dm3/s)</t>
  </si>
  <si>
    <t>Caudal ACS   (dm3/s)</t>
  </si>
  <si>
    <t>Lavamanos</t>
  </si>
  <si>
    <t>Lavabo</t>
  </si>
  <si>
    <t>Ducha</t>
  </si>
  <si>
    <t>Bañera 1,40 o más</t>
  </si>
  <si>
    <t>Bañera menos 1,40</t>
  </si>
  <si>
    <t>Bidé</t>
  </si>
  <si>
    <t>Inodoro con cisterna</t>
  </si>
  <si>
    <t>Inodoro con fluxor</t>
  </si>
  <si>
    <t>Urinarios con grifo temporizado</t>
  </si>
  <si>
    <t>Urinarios con cisterna (c/u)</t>
  </si>
  <si>
    <t>Fegadero no domestico</t>
  </si>
  <si>
    <t>Lavavajillas industrial (20servicios)</t>
  </si>
  <si>
    <t>Lavadero</t>
  </si>
  <si>
    <t>Lavavadora doméstica</t>
  </si>
  <si>
    <t>Lavadora industrial (8kg)</t>
  </si>
  <si>
    <t>Grifo garaje</t>
  </si>
  <si>
    <t>Vertedero</t>
  </si>
  <si>
    <t>Uds</t>
  </si>
  <si>
    <t>Fregadero domestico</t>
  </si>
  <si>
    <t>Lavavajillas domésticos</t>
  </si>
  <si>
    <t>dm3/s</t>
  </si>
  <si>
    <t>m3/h</t>
  </si>
  <si>
    <t>l/h</t>
  </si>
  <si>
    <t>Calculo Potencia ACS</t>
  </si>
  <si>
    <t>Caudal demandado</t>
  </si>
  <si>
    <t xml:space="preserve">Calos específico del agua </t>
  </si>
  <si>
    <t>Grifo aislado (con ACS)</t>
  </si>
  <si>
    <t>Grifo aislado (solo AF)</t>
  </si>
  <si>
    <t>1 kcal/°C kg</t>
  </si>
  <si>
    <t>Potencia(W)=Caudal demandado de ACS(m3/h)*Diferencia de temperatura de ACS-temperatura AF de red(K)*calor específico del agua (1,16 W*h/kg*K)*peso específico del agua (1000 kg/m3)</t>
  </si>
  <si>
    <t>SI</t>
  </si>
  <si>
    <t>NO</t>
  </si>
  <si>
    <t>Form. Tradicional</t>
  </si>
  <si>
    <t>Simultaneidad</t>
  </si>
  <si>
    <t>Confort Basico</t>
  </si>
  <si>
    <t>Confort Medio</t>
  </si>
  <si>
    <t>Confort Alto</t>
  </si>
  <si>
    <t>UNE 149.201/07</t>
  </si>
  <si>
    <t>Tablas Coeficientes UNE 149.201/07</t>
  </si>
  <si>
    <t>Viviendas</t>
  </si>
  <si>
    <t>A</t>
  </si>
  <si>
    <t>B</t>
  </si>
  <si>
    <t>C</t>
  </si>
  <si>
    <t>Qu</t>
  </si>
  <si>
    <t>Qt</t>
  </si>
  <si>
    <t>&lt;0,5</t>
  </si>
  <si>
    <t>≤20</t>
  </si>
  <si>
    <t>≥0,5</t>
  </si>
  <si>
    <t>≤1</t>
  </si>
  <si>
    <t>Sin limite</t>
  </si>
  <si>
    <t>&gt;20</t>
  </si>
  <si>
    <t>Qc=A * (Qt)^B + C</t>
  </si>
  <si>
    <t>Uso edificio</t>
  </si>
  <si>
    <t xml:space="preserve">Qu (Caudal unitario mayor en  l/s) </t>
  </si>
  <si>
    <t>Qt (caudal total demandado en l/s)</t>
  </si>
  <si>
    <t>Tipo edificio</t>
  </si>
  <si>
    <t>Tipos edificios</t>
  </si>
  <si>
    <t>Coeficiente A</t>
  </si>
  <si>
    <t>Coeficiente B</t>
  </si>
  <si>
    <t>Coeficiente C</t>
  </si>
  <si>
    <t>Oficinas, estaciones, aeropuertos, etc</t>
  </si>
  <si>
    <t>Hoteles, discotecas, museos</t>
  </si>
  <si>
    <t>Centros Comerciales</t>
  </si>
  <si>
    <t>Hospitales</t>
  </si>
  <si>
    <t>Escuelas, Polideportivos</t>
  </si>
  <si>
    <t>fila asociada</t>
  </si>
  <si>
    <t>fila por tipo edificio</t>
  </si>
  <si>
    <t>Suplemento fila (segun Qu y Qt)</t>
  </si>
  <si>
    <t>≤1,5</t>
  </si>
  <si>
    <t>Fila edificio distinto escuelas</t>
  </si>
  <si>
    <t>Fila para escuelas</t>
  </si>
  <si>
    <t>Fila busqueda</t>
  </si>
  <si>
    <t xml:space="preserve">nº unidades </t>
  </si>
  <si>
    <t>l/s</t>
  </si>
  <si>
    <t>Wh/lºC</t>
  </si>
  <si>
    <t>ACS</t>
  </si>
  <si>
    <t>AF</t>
  </si>
  <si>
    <t>Selección</t>
  </si>
  <si>
    <t>VIVIENDA 1</t>
  </si>
  <si>
    <t>VIVIENDA 2</t>
  </si>
  <si>
    <t>VIVIENDA 3</t>
  </si>
  <si>
    <t>VIVIENDA 4</t>
  </si>
  <si>
    <t>VIVIENDA 5</t>
  </si>
  <si>
    <t>Velocidad</t>
  </si>
  <si>
    <t>Diámetro interior suministro:</t>
  </si>
  <si>
    <t>Dim comercial (mm2)</t>
  </si>
  <si>
    <t>Tabla tuberias termoplasticas</t>
  </si>
  <si>
    <t>Series que existen en cada material</t>
  </si>
  <si>
    <t>Diámetro comercial</t>
  </si>
  <si>
    <t>serie 2</t>
  </si>
  <si>
    <t>serie 2,5</t>
  </si>
  <si>
    <t>serie 3,2</t>
  </si>
  <si>
    <t>Espesor</t>
  </si>
  <si>
    <t>Dim int</t>
  </si>
  <si>
    <t>serie 4</t>
  </si>
  <si>
    <t>serie 5</t>
  </si>
  <si>
    <t>serie 6,3</t>
  </si>
  <si>
    <t>serie 8</t>
  </si>
  <si>
    <t>selección</t>
  </si>
  <si>
    <t>Dim comer</t>
  </si>
  <si>
    <t>Velocidad suministro</t>
  </si>
  <si>
    <t>Dim int. Comercial</t>
  </si>
  <si>
    <r>
      <t xml:space="preserve">* </t>
    </r>
    <r>
      <rPr>
        <sz val="10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= 9806 N/ m</t>
    </r>
    <r>
      <rPr>
        <vertAlign val="superscript"/>
        <sz val="10"/>
        <rFont val="Arial"/>
        <family val="2"/>
      </rPr>
      <t>3</t>
    </r>
  </si>
  <si>
    <t>6.92</t>
  </si>
  <si>
    <r>
      <t xml:space="preserve">( 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C )</t>
    </r>
  </si>
  <si>
    <t>(adim.)</t>
  </si>
  <si>
    <r>
      <t xml:space="preserve">( 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>C )</t>
    </r>
  </si>
  <si>
    <t>Pa</t>
  </si>
  <si>
    <t>m</t>
  </si>
  <si>
    <r>
      <t xml:space="preserve">N / m x 10 </t>
    </r>
    <r>
      <rPr>
        <b/>
        <vertAlign val="superscript"/>
        <sz val="10"/>
        <rFont val="Arial"/>
        <family val="2"/>
      </rPr>
      <t>-2</t>
    </r>
  </si>
  <si>
    <r>
      <t>cm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/ s x 10 </t>
    </r>
    <r>
      <rPr>
        <b/>
        <vertAlign val="superscript"/>
        <sz val="10"/>
        <color indexed="8"/>
        <rFont val="Arial"/>
        <family val="2"/>
      </rPr>
      <t>-2</t>
    </r>
  </si>
  <si>
    <r>
      <t xml:space="preserve">Pa*s x 10 </t>
    </r>
    <r>
      <rPr>
        <b/>
        <vertAlign val="superscript"/>
        <sz val="10"/>
        <rFont val="Arial"/>
        <family val="2"/>
      </rPr>
      <t>-3</t>
    </r>
  </si>
  <si>
    <r>
      <t>Kg/ m</t>
    </r>
    <r>
      <rPr>
        <b/>
        <vertAlign val="superscript"/>
        <sz val="10"/>
        <rFont val="Arial"/>
        <family val="2"/>
      </rPr>
      <t>3</t>
    </r>
  </si>
  <si>
    <r>
      <t>N/ m</t>
    </r>
    <r>
      <rPr>
        <b/>
        <vertAlign val="superscript"/>
        <sz val="10"/>
        <rFont val="Arial"/>
        <family val="2"/>
      </rPr>
      <t>3</t>
    </r>
  </si>
  <si>
    <t>T</t>
  </si>
  <si>
    <r>
      <t>g</t>
    </r>
    <r>
      <rPr>
        <b/>
        <sz val="8"/>
        <rFont val="Arial"/>
        <family val="2"/>
      </rPr>
      <t xml:space="preserve"> 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/ </t>
    </r>
    <r>
      <rPr>
        <b/>
        <sz val="8"/>
        <rFont val="Symbol"/>
        <family val="1"/>
        <charset val="2"/>
      </rPr>
      <t>g</t>
    </r>
    <r>
      <rPr>
        <b/>
        <sz val="8"/>
        <rFont val="Arial"/>
        <family val="2"/>
      </rPr>
      <t xml:space="preserve"> 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= 20</t>
    </r>
    <r>
      <rPr>
        <b/>
        <vertAlign val="superscript"/>
        <sz val="8"/>
        <rFont val="Arial"/>
        <family val="2"/>
      </rPr>
      <t xml:space="preserve"> 0</t>
    </r>
    <r>
      <rPr>
        <b/>
        <sz val="8"/>
        <rFont val="Arial"/>
        <family val="2"/>
      </rPr>
      <t>C</t>
    </r>
  </si>
  <si>
    <r>
      <t xml:space="preserve">Visc cinem </t>
    </r>
    <r>
      <rPr>
        <b/>
        <vertAlign val="subscript"/>
        <sz val="8"/>
        <rFont val="Arial"/>
        <family val="2"/>
      </rPr>
      <t xml:space="preserve">T </t>
    </r>
    <r>
      <rPr>
        <b/>
        <sz val="8"/>
        <rFont val="Arial"/>
        <family val="2"/>
      </rPr>
      <t>/ Visc cinem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= 20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C </t>
    </r>
  </si>
  <si>
    <r>
      <t>p</t>
    </r>
    <r>
      <rPr>
        <b/>
        <vertAlign val="subscript"/>
        <sz val="10"/>
        <rFont val="Arial"/>
        <family val="2"/>
      </rPr>
      <t xml:space="preserve">v </t>
    </r>
    <r>
      <rPr>
        <b/>
        <vertAlign val="subscript"/>
        <sz val="12"/>
        <rFont val="Arial"/>
        <family val="2"/>
      </rPr>
      <t>*</t>
    </r>
  </si>
  <si>
    <t>s</t>
  </si>
  <si>
    <t>n</t>
  </si>
  <si>
    <t>r</t>
  </si>
  <si>
    <t>g</t>
  </si>
  <si>
    <t>Elasticidad Vol.</t>
  </si>
  <si>
    <t>de vapor</t>
  </si>
  <si>
    <t>superficial</t>
  </si>
  <si>
    <t>cinemática</t>
  </si>
  <si>
    <t>dinámica</t>
  </si>
  <si>
    <t>específico</t>
  </si>
  <si>
    <t>Temperatura</t>
  </si>
  <si>
    <t>Módulo</t>
  </si>
  <si>
    <t>Carga a presión</t>
  </si>
  <si>
    <t>Tensión</t>
  </si>
  <si>
    <t>Viscosidad</t>
  </si>
  <si>
    <t>Densidad</t>
  </si>
  <si>
    <t xml:space="preserve">Peso </t>
  </si>
  <si>
    <t>TABLA. PROPIEDADES FÍSICAS DEL AGUA</t>
  </si>
  <si>
    <t>(KPa)</t>
  </si>
  <si>
    <t>(mca)</t>
  </si>
  <si>
    <t>(m/s)</t>
  </si>
  <si>
    <t>(mm)</t>
  </si>
  <si>
    <t>(l/s)</t>
  </si>
  <si>
    <t>Total</t>
  </si>
  <si>
    <t>Accesorios</t>
  </si>
  <si>
    <t>Tubería</t>
  </si>
  <si>
    <t>Real</t>
  </si>
  <si>
    <t>Teórica</t>
  </si>
  <si>
    <t>instalado</t>
  </si>
  <si>
    <t>Pérdida</t>
  </si>
  <si>
    <t>Diámetro</t>
  </si>
  <si>
    <t>Caudal</t>
  </si>
  <si>
    <t>Consumo</t>
  </si>
  <si>
    <t>Tramo</t>
  </si>
  <si>
    <t>Descripcion</t>
  </si>
  <si>
    <t>Consumos tipo</t>
  </si>
  <si>
    <t>Unidades</t>
  </si>
  <si>
    <t>Simult.</t>
  </si>
  <si>
    <t>TOTAL</t>
  </si>
  <si>
    <t>Nom. Ext.</t>
  </si>
  <si>
    <t>Nom. Int.</t>
  </si>
  <si>
    <t>de cada</t>
  </si>
  <si>
    <t>tipologia</t>
  </si>
  <si>
    <t>PVC-C</t>
  </si>
  <si>
    <t>---</t>
  </si>
  <si>
    <t>PCV</t>
  </si>
  <si>
    <t>Acero galvanizado</t>
  </si>
  <si>
    <t>Hormigon liso</t>
  </si>
  <si>
    <t>Hormigon rugoso</t>
  </si>
  <si>
    <t>Rugosidad absoluta tuberias (mm)</t>
  </si>
  <si>
    <t>Cobre</t>
  </si>
  <si>
    <t>PB (polibutileno)</t>
  </si>
  <si>
    <t>LDPE  (Polietileno de baja densidad)</t>
  </si>
  <si>
    <t>HDPE  (Polietileno de Alta Densidad)</t>
  </si>
  <si>
    <t>PEX (Polietileno reticulado)</t>
  </si>
  <si>
    <t>agua</t>
  </si>
  <si>
    <t>(cm2/seg)</t>
  </si>
  <si>
    <t>Absoluta</t>
  </si>
  <si>
    <t>Rugosidad</t>
  </si>
  <si>
    <t>Reynols</t>
  </si>
  <si>
    <t>Coef.</t>
  </si>
  <si>
    <t>Número</t>
  </si>
  <si>
    <t>Factor</t>
  </si>
  <si>
    <t>K/d</t>
  </si>
  <si>
    <t>Lamda</t>
  </si>
  <si>
    <t>Perdida</t>
  </si>
  <si>
    <t>Carga</t>
  </si>
  <si>
    <t>(mca/m)</t>
  </si>
  <si>
    <t>Viscos.</t>
  </si>
  <si>
    <t>rugosidad</t>
  </si>
  <si>
    <r>
      <t xml:space="preserve">1 / </t>
    </r>
    <r>
      <rPr>
        <sz val="8"/>
        <rFont val="Symbol"/>
        <family val="1"/>
        <charset val="2"/>
      </rPr>
      <t>l</t>
    </r>
    <r>
      <rPr>
        <sz val="8"/>
        <rFont val="Arial"/>
        <family val="2"/>
      </rPr>
      <t>^0,5</t>
    </r>
  </si>
  <si>
    <t>+25%</t>
  </si>
  <si>
    <t>Presión max. equipo bombeo</t>
  </si>
  <si>
    <t>Presion</t>
  </si>
  <si>
    <t>(bar)</t>
  </si>
  <si>
    <t>residual</t>
  </si>
  <si>
    <t>Pres. mín. en punto suministro</t>
  </si>
  <si>
    <t>Pres. max. en punto suministro</t>
  </si>
  <si>
    <t>según</t>
  </si>
  <si>
    <t>Hazen</t>
  </si>
  <si>
    <t>CALCULO</t>
  </si>
  <si>
    <t>SELEC.</t>
  </si>
  <si>
    <t>tramo</t>
  </si>
  <si>
    <t>+ desfav.</t>
  </si>
  <si>
    <t>Columna</t>
  </si>
  <si>
    <t>PP (Polipropileno)</t>
  </si>
  <si>
    <t>PB</t>
  </si>
  <si>
    <t>Inicial</t>
  </si>
  <si>
    <t>Suma a</t>
  </si>
  <si>
    <t>Perdida de carga tramo + desfavorable</t>
  </si>
  <si>
    <t>Caudal simutaneo total</t>
  </si>
  <si>
    <t>Perdida de carga lineal</t>
  </si>
  <si>
    <t>Altura geométrica</t>
  </si>
  <si>
    <t>Presion residual</t>
  </si>
  <si>
    <t>Altura de aspiración</t>
  </si>
  <si>
    <t>Coeficiente seguridad</t>
  </si>
  <si>
    <t>Presión mínima (arranque)</t>
  </si>
  <si>
    <t>Número de bombas</t>
  </si>
  <si>
    <t>Bombas en reserva</t>
  </si>
  <si>
    <t>Volumen 20min uso</t>
  </si>
  <si>
    <t>Volumen 15min uso</t>
  </si>
  <si>
    <t>Ke</t>
  </si>
  <si>
    <t>Presión maxima (parada)</t>
  </si>
  <si>
    <t>PN16</t>
  </si>
  <si>
    <t>PN20</t>
  </si>
  <si>
    <t>PN10</t>
  </si>
  <si>
    <t>PN12,5</t>
  </si>
  <si>
    <t>Caudal xUd bomba</t>
  </si>
  <si>
    <t>Potencia min xUd bomba</t>
  </si>
  <si>
    <t>Flamant</t>
  </si>
  <si>
    <t>Blasius</t>
  </si>
  <si>
    <t>Manning</t>
  </si>
  <si>
    <t>regimen</t>
  </si>
  <si>
    <t>turbulento</t>
  </si>
  <si>
    <t>agua fria</t>
  </si>
  <si>
    <t>Otros usos</t>
  </si>
  <si>
    <t>Riego</t>
  </si>
  <si>
    <t>Sala Solar</t>
  </si>
  <si>
    <t>Piscina</t>
  </si>
  <si>
    <t>Deposito de regulación CAM</t>
  </si>
  <si>
    <t>Perdida TOTAL</t>
  </si>
  <si>
    <t>Otros</t>
  </si>
  <si>
    <t>Cocina + 1 baño</t>
  </si>
  <si>
    <t>Medición  de tuberias según diámetro</t>
  </si>
  <si>
    <t>Medición de tuberías</t>
  </si>
  <si>
    <t>Long (m)</t>
  </si>
  <si>
    <t>Dim (mm)</t>
  </si>
  <si>
    <t>Vel. Int viv</t>
  </si>
  <si>
    <t>Caudal adicional</t>
  </si>
  <si>
    <t>Simultaneidad vivienda</t>
  </si>
  <si>
    <t>Simultaneidad varias unidades</t>
  </si>
  <si>
    <t>Mínimo:</t>
  </si>
  <si>
    <t>Grupo de presión caudal variable</t>
  </si>
  <si>
    <t>Teórico Int</t>
  </si>
  <si>
    <t>VIVIENDA TIPO B</t>
  </si>
  <si>
    <t>VIVIENDA TIPO C</t>
  </si>
  <si>
    <t>VIVIENDA TIPO D</t>
  </si>
  <si>
    <t>VIVIENDA TIPO E</t>
  </si>
  <si>
    <t>Basuras + Baldeo</t>
  </si>
  <si>
    <t>Orden 2.106</t>
  </si>
  <si>
    <t>TOTAL  SIMULTÁNEO (l/s)</t>
  </si>
  <si>
    <t>Dim int. calculo (mm2)</t>
  </si>
  <si>
    <t>Q simul ACS</t>
  </si>
  <si>
    <t>Q simul AF</t>
  </si>
  <si>
    <t>VIVIENDA TIPO A</t>
  </si>
  <si>
    <t>CTE HS4  SUMINISTRO DE AGUA</t>
  </si>
  <si>
    <t>Actualizaciones y otras herramientas en:</t>
  </si>
  <si>
    <t>Autor:</t>
  </si>
  <si>
    <t>Oscar Redondo Rivera  o.redondo.rivera@gmail.com</t>
  </si>
  <si>
    <t>Tuberia INTERIOR</t>
  </si>
  <si>
    <t>Uds suministro</t>
  </si>
  <si>
    <t>Q adicional AF</t>
  </si>
  <si>
    <t>1.- DATOS GENERALES</t>
  </si>
  <si>
    <t>2.- CONSUMOS TIPO.     Caudal instantáneo según CTE-HS4</t>
  </si>
  <si>
    <t>Cocina + 2 baños (ducha + bañera)</t>
  </si>
  <si>
    <t>Cocina + 2 baños (ducha + bañera) + aseo</t>
  </si>
  <si>
    <t>Cocina + 3 baños (2 duchas + bañera)</t>
  </si>
  <si>
    <t>Diámetros tuberias cobre</t>
  </si>
  <si>
    <t>espesor 1mm</t>
  </si>
  <si>
    <t>Dnominal</t>
  </si>
  <si>
    <t>Dint</t>
  </si>
  <si>
    <t>Tabla activa de diametros</t>
  </si>
  <si>
    <t>Termo plastico</t>
  </si>
  <si>
    <t>Cu</t>
  </si>
  <si>
    <t>Activa</t>
  </si>
  <si>
    <t>fila</t>
  </si>
  <si>
    <t>Temp. AF</t>
  </si>
  <si>
    <t>Temp ACS</t>
  </si>
  <si>
    <t>Q Total AF</t>
  </si>
  <si>
    <t>SUMINISTRO DE AGUA FRIA</t>
  </si>
  <si>
    <t>Q (l/s)</t>
  </si>
  <si>
    <t>SUMINISTRO ACS</t>
  </si>
  <si>
    <t>Q total ACS</t>
  </si>
  <si>
    <t>Tramo desfavorable:</t>
  </si>
  <si>
    <t>Long. Horizontal</t>
  </si>
  <si>
    <t>Long. Vertical</t>
  </si>
  <si>
    <t>x unidad</t>
  </si>
  <si>
    <t>Uso</t>
  </si>
  <si>
    <t>suplemento</t>
  </si>
  <si>
    <t xml:space="preserve">fila </t>
  </si>
  <si>
    <t>mayor</t>
  </si>
  <si>
    <t>tipo</t>
  </si>
  <si>
    <t>distinto</t>
  </si>
  <si>
    <t>escuelas</t>
  </si>
  <si>
    <t>busqueda</t>
  </si>
  <si>
    <t>edificio</t>
  </si>
  <si>
    <t>Q l/s</t>
  </si>
  <si>
    <t>K</t>
  </si>
  <si>
    <t>simult.</t>
  </si>
  <si>
    <t>UNE 149</t>
  </si>
  <si>
    <t>Tipo:</t>
  </si>
  <si>
    <t>Serie:</t>
  </si>
  <si>
    <t>Habitual</t>
  </si>
  <si>
    <t>para ACS</t>
  </si>
  <si>
    <t>Cu, 70ºC</t>
  </si>
  <si>
    <t>Lista de tramos AF</t>
  </si>
  <si>
    <t>inicio</t>
  </si>
  <si>
    <t>nº tramos:</t>
  </si>
  <si>
    <t>Anterior</t>
  </si>
  <si>
    <t>ID</t>
  </si>
  <si>
    <t>Otros Consumos</t>
  </si>
  <si>
    <t>Vestuarios</t>
  </si>
  <si>
    <t>Serie activa</t>
  </si>
  <si>
    <t xml:space="preserve"> </t>
  </si>
  <si>
    <t>Número consumos tipo</t>
  </si>
  <si>
    <t>Volumen recomendable</t>
  </si>
  <si>
    <t>GRUPO DE PRESIÓN AGUA FRÍA</t>
  </si>
  <si>
    <t>Grupos EBARA 1 bomba</t>
  </si>
  <si>
    <t>Grupos EBARA 2 bombas</t>
  </si>
  <si>
    <t>Grupos EBARA 3 bombas</t>
  </si>
  <si>
    <t>Mínimo bomba individual</t>
  </si>
  <si>
    <t>Volumen deposito</t>
  </si>
  <si>
    <t xml:space="preserve">     o según fabricante</t>
  </si>
  <si>
    <t>CRITERIO DE SELECCIÓN</t>
  </si>
  <si>
    <t>1.- CAUDAL Y PERDIDA DE CARGA TOTAL DEL CONJUNTO DE BOMBAS</t>
  </si>
  <si>
    <t>2.- 1 BOMBA  DEL CONJUNTO 60% DEL CAUDAL Y PERDIDA DE CARGA TOTAL</t>
  </si>
  <si>
    <t>Altura max entre suminstro y consumo</t>
  </si>
  <si>
    <t>Acumulador de membrana</t>
  </si>
  <si>
    <t>EQUIPOS DE CAUDAL VARIABLE</t>
  </si>
  <si>
    <t>Deposito de regulación CTE-HS4 (opcional)</t>
  </si>
  <si>
    <t>s/ UNE 149202:2013</t>
  </si>
  <si>
    <t>UNE 149202:2013</t>
  </si>
  <si>
    <t>Grupos EBARA AP-MVP</t>
  </si>
  <si>
    <t>http://www.ebara.es/productos/bombas-centrifugas-verticales/mvp/</t>
  </si>
  <si>
    <t>INSTALACIÓN DE AGUA FRÍA</t>
  </si>
  <si>
    <t>INSTALACIÓN DE AGUA CALIENTE</t>
  </si>
  <si>
    <t>Ubicación</t>
  </si>
  <si>
    <t>Aislam.</t>
  </si>
  <si>
    <t>Perdidas</t>
  </si>
  <si>
    <t>Long.</t>
  </si>
  <si>
    <t>tubería</t>
  </si>
  <si>
    <t>mínimo</t>
  </si>
  <si>
    <t>térmicas</t>
  </si>
  <si>
    <t>tuberia</t>
  </si>
  <si>
    <t>(W/m)</t>
  </si>
  <si>
    <t>(m)</t>
  </si>
  <si>
    <t>(W)</t>
  </si>
  <si>
    <t>Interior</t>
  </si>
  <si>
    <t>Perdidas térmicas y aislamiento</t>
  </si>
  <si>
    <t>espesor (mm) aislamiento</t>
  </si>
  <si>
    <t>Exterior</t>
  </si>
  <si>
    <t>espesor aislamiento</t>
  </si>
  <si>
    <t>Perdidas (Salto 30ºC)</t>
  </si>
  <si>
    <t xml:space="preserve">Diámetros tuberias retorno CTE HS4 </t>
  </si>
  <si>
    <t>diámetro nominal</t>
  </si>
  <si>
    <t>Perdida TERMICA tramo + desfavorable</t>
  </si>
  <si>
    <t>Número columnas</t>
  </si>
  <si>
    <t>Caudal suministro simultáneo</t>
  </si>
  <si>
    <t>Perdida térmica tramo más desfavorable</t>
  </si>
  <si>
    <t>diámetro interior (mm)</t>
  </si>
  <si>
    <t>Velocidad (m/s)</t>
  </si>
  <si>
    <t>Perdida de carga (mca/m)</t>
  </si>
  <si>
    <t>Longitud de tramo</t>
  </si>
  <si>
    <t>Tramo desfavorable</t>
  </si>
  <si>
    <t>Perdida de carga TOTAL (mca)</t>
  </si>
  <si>
    <t>Caudal TOTAL</t>
  </si>
  <si>
    <t>Bomba de recirculacion ACS</t>
  </si>
  <si>
    <t>Wilo Stratos Z</t>
  </si>
  <si>
    <t>Perdida de carga TOTAL</t>
  </si>
  <si>
    <t>http://productfinder.wilo.com/be/en/c000000010002929a00040023/product.html#tab=1</t>
  </si>
  <si>
    <t xml:space="preserve">CRITERIO 3:   Dif. Temp. Max. 3º </t>
  </si>
  <si>
    <t>CRITERIO 2:   10% del Qsimultaneo</t>
  </si>
  <si>
    <r>
      <t xml:space="preserve">Caudal mínimo </t>
    </r>
    <r>
      <rPr>
        <b/>
        <sz val="8"/>
        <color theme="0"/>
        <rFont val="Arial"/>
        <family val="2"/>
      </rPr>
      <t>por columna</t>
    </r>
    <r>
      <rPr>
        <sz val="8"/>
        <color theme="0"/>
        <rFont val="Arial"/>
        <family val="2"/>
      </rPr>
      <t xml:space="preserve"> CTE HS4</t>
    </r>
  </si>
  <si>
    <r>
      <t xml:space="preserve">Caudal mínimo </t>
    </r>
    <r>
      <rPr>
        <b/>
        <sz val="8"/>
        <color theme="0"/>
        <rFont val="Calibri"/>
        <family val="2"/>
      </rPr>
      <t>TOTAL</t>
    </r>
    <r>
      <rPr>
        <sz val="8"/>
        <color theme="0"/>
        <rFont val="Calibri"/>
        <family val="2"/>
      </rPr>
      <t xml:space="preserve"> de retorno</t>
    </r>
  </si>
  <si>
    <t>Diámetro de recirculación acumulado</t>
  </si>
  <si>
    <t>Nº columna de retorno</t>
  </si>
  <si>
    <t>Caudal por columna</t>
  </si>
  <si>
    <t>TRAMO HORIZONTAL</t>
  </si>
  <si>
    <t>Caudal acumulado</t>
  </si>
  <si>
    <t>CRITERIO 1:   Caudal mín. por columna 250 l/h</t>
  </si>
  <si>
    <t>Diámetro nominal columna</t>
  </si>
  <si>
    <t>COLUMNAS</t>
  </si>
  <si>
    <t>RETORNO ACS</t>
  </si>
  <si>
    <t>Proyecto</t>
  </si>
  <si>
    <t>D(mm)</t>
  </si>
  <si>
    <t>Qs (l/s)</t>
  </si>
  <si>
    <t>Dnom (mm)</t>
  </si>
  <si>
    <t>v(m/s)</t>
  </si>
  <si>
    <t>Consumos tipo Agua Fria</t>
  </si>
  <si>
    <t>Contadores</t>
  </si>
  <si>
    <t>TOTAL CONSUMO AF</t>
  </si>
  <si>
    <t>Altura suministro</t>
  </si>
  <si>
    <t>Caudal de suministro</t>
  </si>
  <si>
    <t>Equipo seleccionado</t>
  </si>
  <si>
    <t>Deposito de regulacion</t>
  </si>
  <si>
    <t>Depsito de membrana</t>
  </si>
  <si>
    <t>EBARA AP MVP7-400/8-3</t>
  </si>
  <si>
    <t>Bombas simultáneas</t>
  </si>
  <si>
    <t>Consumos tipo ACS</t>
  </si>
  <si>
    <t>TOTAL CONSUMO ACS</t>
  </si>
  <si>
    <t>Tan solo es necesario introducir datos en las casillas en color blanco.</t>
  </si>
  <si>
    <t xml:space="preserve">Nota: La presente aplicación se proporciona bajo una licencia Creative Commons "tal cual", sin garantías implícitas o explícitas. Bajo ninguna circunstancia el autor se responsabiliza de su uso. </t>
  </si>
  <si>
    <t xml:space="preserve">CTE HS4 SUMINISTRO DE AGUA </t>
  </si>
  <si>
    <t>Calculo de redes de distribución de agua fria y caliente</t>
  </si>
  <si>
    <t>El resto de celdas indican los resultados de calculo</t>
  </si>
  <si>
    <t>o.redondo.rivera@gmail.com</t>
  </si>
  <si>
    <t xml:space="preserve">  Autor: Oscar Redondo Rivera   </t>
  </si>
  <si>
    <t>Actualizaciones y otras herramientas:</t>
  </si>
  <si>
    <t>Duplex Cocina + 3 baños (2xducha + bañera)</t>
  </si>
  <si>
    <t>25 viviendas Humanes</t>
  </si>
  <si>
    <t>ACS/Solar</t>
  </si>
  <si>
    <t>Inicio-Montante</t>
  </si>
  <si>
    <t>Versión v.3.1 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</si>
</sst>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0.000"/>
    <numFmt numFmtId="165" formatCode="0.0"/>
    <numFmt numFmtId="166" formatCode="0\ &quot;ºC&quot;"/>
    <numFmt numFmtId="167" formatCode="0.00\ &quot;m/s&quot;"/>
    <numFmt numFmtId="168" formatCode="0.00\ &quot;l/s&quot;"/>
    <numFmt numFmtId="169" formatCode="0.00\ &quot;mca&quot;"/>
    <numFmt numFmtId="170" formatCode="0.00\ &quot;m&quot;"/>
    <numFmt numFmtId="171" formatCode="0.00\ &quot;bar&quot;"/>
    <numFmt numFmtId="172" formatCode="0\ &quot;l&quot;"/>
    <numFmt numFmtId="173" formatCode="#,##0\ &quot;litros&quot;"/>
    <numFmt numFmtId="174" formatCode="0.00\ &quot;m3/h&quot;"/>
    <numFmt numFmtId="175" formatCode="0.00\ &quot;kW&quot;"/>
    <numFmt numFmtId="176" formatCode="0.00\ &quot;CV&quot;"/>
    <numFmt numFmtId="177" formatCode="0\ &quot;l/min&quot;"/>
    <numFmt numFmtId="178" formatCode="#,##0.00_ ;[Red]\-#,##0.00\ "/>
    <numFmt numFmtId="179" formatCode="0\ &quot;Uds&quot;"/>
    <numFmt numFmtId="180" formatCode="0\ &quot;W&quot;"/>
    <numFmt numFmtId="181" formatCode="#,##0\ &quot;l&quot;"/>
  </numFmts>
  <fonts count="5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name val="Symbol"/>
      <family val="1"/>
      <charset val="2"/>
    </font>
    <font>
      <b/>
      <vertAlign val="subscript"/>
      <sz val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name val="Arial"/>
      <family val="2"/>
    </font>
    <font>
      <b/>
      <sz val="10"/>
      <name val="Symbol"/>
      <family val="1"/>
      <charset val="2"/>
    </font>
    <font>
      <sz val="8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u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8"/>
      <color rgb="FF0000FF"/>
      <name val="Arial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scheme val="minor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1"/>
      <name val="Calibri"/>
      <family val="2"/>
      <scheme val="minor"/>
    </font>
    <font>
      <sz val="8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b/>
      <sz val="11"/>
      <color rgb="FF8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sz val="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0080"/>
      <name val="Calibri"/>
      <family val="2"/>
    </font>
    <font>
      <sz val="9"/>
      <color theme="1" tint="0.49998474074526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22"/>
      </patternFill>
    </fill>
    <fill>
      <patternFill patternType="solid">
        <fgColor theme="4" tint="-0.499984740745262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22"/>
      </patternFill>
    </fill>
    <fill>
      <patternFill patternType="solid">
        <fgColor theme="0"/>
        <bgColor indexed="22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</cellStyleXfs>
  <cellXfs count="50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2" fontId="0" fillId="3" borderId="7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23" fillId="4" borderId="0" xfId="0" applyFont="1" applyFill="1"/>
    <xf numFmtId="0" fontId="0" fillId="0" borderId="0" xfId="0" applyAlignment="1">
      <alignment horizontal="right"/>
    </xf>
    <xf numFmtId="2" fontId="0" fillId="0" borderId="0" xfId="0" applyNumberFormat="1"/>
    <xf numFmtId="0" fontId="27" fillId="0" borderId="0" xfId="0" applyFont="1"/>
    <xf numFmtId="0" fontId="23" fillId="0" borderId="0" xfId="0" applyFont="1"/>
    <xf numFmtId="0" fontId="0" fillId="0" borderId="14" xfId="0" applyBorder="1"/>
    <xf numFmtId="2" fontId="0" fillId="3" borderId="13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28" fillId="0" borderId="0" xfId="0" applyFont="1"/>
    <xf numFmtId="165" fontId="0" fillId="0" borderId="0" xfId="0" applyNumberFormat="1"/>
    <xf numFmtId="0" fontId="26" fillId="0" borderId="0" xfId="0" applyFont="1"/>
    <xf numFmtId="2" fontId="26" fillId="6" borderId="9" xfId="0" applyNumberFormat="1" applyFont="1" applyFill="1" applyBorder="1"/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Protection="1">
      <protection hidden="1"/>
    </xf>
    <xf numFmtId="2" fontId="0" fillId="5" borderId="13" xfId="0" applyNumberFormat="1" applyFill="1" applyBorder="1" applyAlignment="1" applyProtection="1">
      <alignment horizontal="center"/>
      <protection hidden="1"/>
    </xf>
    <xf numFmtId="2" fontId="0" fillId="7" borderId="13" xfId="0" applyNumberFormat="1" applyFill="1" applyBorder="1" applyAlignment="1" applyProtection="1">
      <alignment horizontal="center"/>
      <protection hidden="1"/>
    </xf>
    <xf numFmtId="0" fontId="0" fillId="0" borderId="16" xfId="0" applyBorder="1"/>
    <xf numFmtId="2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26" fillId="6" borderId="9" xfId="0" applyNumberFormat="1" applyFont="1" applyFill="1" applyBorder="1" applyAlignment="1">
      <alignment horizontal="right"/>
    </xf>
    <xf numFmtId="0" fontId="4" fillId="0" borderId="0" xfId="3"/>
    <xf numFmtId="0" fontId="4" fillId="0" borderId="0" xfId="3" applyAlignment="1">
      <alignment horizontal="center"/>
    </xf>
    <xf numFmtId="0" fontId="5" fillId="0" borderId="0" xfId="2" applyAlignment="1" applyProtection="1"/>
    <xf numFmtId="1" fontId="4" fillId="0" borderId="9" xfId="3" applyNumberFormat="1" applyBorder="1" applyAlignment="1">
      <alignment horizontal="center"/>
    </xf>
    <xf numFmtId="164" fontId="4" fillId="0" borderId="9" xfId="3" applyNumberFormat="1" applyBorder="1" applyAlignment="1">
      <alignment horizontal="center"/>
    </xf>
    <xf numFmtId="2" fontId="4" fillId="0" borderId="9" xfId="3" applyNumberFormat="1" applyBorder="1" applyAlignment="1">
      <alignment horizontal="center"/>
    </xf>
    <xf numFmtId="165" fontId="4" fillId="0" borderId="9" xfId="3" applyNumberFormat="1" applyBorder="1" applyAlignment="1">
      <alignment horizontal="center"/>
    </xf>
    <xf numFmtId="0" fontId="2" fillId="0" borderId="0" xfId="3" applyFont="1"/>
    <xf numFmtId="0" fontId="1" fillId="0" borderId="13" xfId="3" applyFont="1" applyBorder="1" applyAlignment="1">
      <alignment horizontal="center"/>
    </xf>
    <xf numFmtId="0" fontId="9" fillId="0" borderId="17" xfId="3" applyFont="1" applyBorder="1" applyAlignment="1">
      <alignment horizontal="center"/>
    </xf>
    <xf numFmtId="0" fontId="9" fillId="0" borderId="13" xfId="3" applyFont="1" applyBorder="1" applyAlignment="1">
      <alignment horizontal="center"/>
    </xf>
    <xf numFmtId="0" fontId="1" fillId="0" borderId="17" xfId="3" applyFont="1" applyBorder="1" applyAlignment="1">
      <alignment horizontal="center"/>
    </xf>
    <xf numFmtId="0" fontId="13" fillId="0" borderId="17" xfId="3" applyFont="1" applyBorder="1" applyAlignment="1">
      <alignment horizontal="center"/>
    </xf>
    <xf numFmtId="0" fontId="17" fillId="0" borderId="17" xfId="3" applyFont="1" applyBorder="1" applyAlignment="1">
      <alignment horizontal="center"/>
    </xf>
    <xf numFmtId="0" fontId="4" fillId="0" borderId="17" xfId="3" applyBorder="1"/>
    <xf numFmtId="0" fontId="3" fillId="0" borderId="17" xfId="3" applyFont="1" applyBorder="1" applyAlignment="1">
      <alignment horizontal="center"/>
    </xf>
    <xf numFmtId="0" fontId="1" fillId="0" borderId="17" xfId="3" applyFont="1" applyBorder="1"/>
    <xf numFmtId="0" fontId="1" fillId="0" borderId="18" xfId="3" applyFont="1" applyBorder="1" applyAlignment="1">
      <alignment horizontal="center"/>
    </xf>
    <xf numFmtId="0" fontId="1" fillId="0" borderId="0" xfId="3" applyFont="1" applyAlignment="1">
      <alignment horizontal="center"/>
    </xf>
    <xf numFmtId="0" fontId="1" fillId="0" borderId="0" xfId="3" applyFont="1"/>
    <xf numFmtId="1" fontId="4" fillId="8" borderId="9" xfId="3" applyNumberFormat="1" applyFill="1" applyBorder="1" applyAlignment="1">
      <alignment horizontal="center"/>
    </xf>
    <xf numFmtId="165" fontId="4" fillId="8" borderId="9" xfId="3" applyNumberFormat="1" applyFill="1" applyBorder="1" applyAlignment="1">
      <alignment horizontal="center"/>
    </xf>
    <xf numFmtId="164" fontId="4" fillId="8" borderId="9" xfId="3" applyNumberFormat="1" applyFill="1" applyBorder="1" applyAlignment="1">
      <alignment horizontal="center"/>
    </xf>
    <xf numFmtId="2" fontId="4" fillId="8" borderId="9" xfId="3" applyNumberFormat="1" applyFill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9" xfId="0" quotePrefix="1" applyFill="1" applyBorder="1" applyAlignment="1">
      <alignment horizontal="center"/>
    </xf>
    <xf numFmtId="0" fontId="29" fillId="0" borderId="0" xfId="0" applyFont="1"/>
    <xf numFmtId="0" fontId="26" fillId="6" borderId="9" xfId="0" applyFont="1" applyFill="1" applyBorder="1" applyAlignment="1">
      <alignment horizontal="center"/>
    </xf>
    <xf numFmtId="164" fontId="4" fillId="0" borderId="16" xfId="3" applyNumberFormat="1" applyBorder="1" applyAlignment="1">
      <alignment horizontal="center"/>
    </xf>
    <xf numFmtId="164" fontId="4" fillId="8" borderId="19" xfId="3" applyNumberFormat="1" applyFill="1" applyBorder="1" applyAlignment="1">
      <alignment horizontal="center"/>
    </xf>
    <xf numFmtId="164" fontId="4" fillId="8" borderId="16" xfId="3" applyNumberFormat="1" applyFill="1" applyBorder="1" applyAlignment="1">
      <alignment horizontal="center"/>
    </xf>
    <xf numFmtId="2" fontId="4" fillId="0" borderId="20" xfId="3" applyNumberFormat="1" applyBorder="1" applyAlignment="1">
      <alignment horizontal="center"/>
    </xf>
    <xf numFmtId="2" fontId="4" fillId="8" borderId="20" xfId="3" applyNumberFormat="1" applyFill="1" applyBorder="1" applyAlignment="1">
      <alignment horizontal="center"/>
    </xf>
    <xf numFmtId="0" fontId="11" fillId="0" borderId="17" xfId="3" applyFont="1" applyBorder="1" applyAlignment="1">
      <alignment horizontal="center"/>
    </xf>
    <xf numFmtId="164" fontId="4" fillId="0" borderId="21" xfId="3" applyNumberFormat="1" applyBorder="1" applyAlignment="1">
      <alignment horizontal="center"/>
    </xf>
    <xf numFmtId="164" fontId="4" fillId="0" borderId="22" xfId="3" applyNumberFormat="1" applyBorder="1" applyAlignment="1">
      <alignment horizontal="center"/>
    </xf>
    <xf numFmtId="164" fontId="4" fillId="8" borderId="22" xfId="3" applyNumberFormat="1" applyFill="1" applyBorder="1" applyAlignment="1">
      <alignment horizontal="center"/>
    </xf>
    <xf numFmtId="164" fontId="4" fillId="0" borderId="23" xfId="3" applyNumberFormat="1" applyBorder="1" applyAlignment="1">
      <alignment horizontal="center"/>
    </xf>
    <xf numFmtId="0" fontId="4" fillId="8" borderId="0" xfId="3" applyFill="1"/>
    <xf numFmtId="0" fontId="0" fillId="0" borderId="0" xfId="0" quotePrefix="1" applyAlignment="1">
      <alignment horizontal="center"/>
    </xf>
    <xf numFmtId="0" fontId="26" fillId="0" borderId="0" xfId="0" applyFont="1" applyAlignment="1">
      <alignment horizontal="left"/>
    </xf>
    <xf numFmtId="2" fontId="0" fillId="5" borderId="9" xfId="0" applyNumberFormat="1" applyFill="1" applyBorder="1" applyAlignment="1" applyProtection="1">
      <alignment horizontal="center"/>
      <protection hidden="1"/>
    </xf>
    <xf numFmtId="0" fontId="0" fillId="0" borderId="9" xfId="0" applyBorder="1"/>
    <xf numFmtId="2" fontId="0" fillId="7" borderId="9" xfId="0" applyNumberFormat="1" applyFill="1" applyBorder="1" applyAlignment="1" applyProtection="1">
      <alignment horizontal="center"/>
      <protection hidden="1"/>
    </xf>
    <xf numFmtId="0" fontId="0" fillId="9" borderId="0" xfId="0" applyFill="1" applyProtection="1">
      <protection hidden="1"/>
    </xf>
    <xf numFmtId="0" fontId="0" fillId="9" borderId="0" xfId="0" applyFill="1" applyAlignment="1" applyProtection="1">
      <alignment vertical="center"/>
      <protection hidden="1"/>
    </xf>
    <xf numFmtId="0" fontId="0" fillId="9" borderId="0" xfId="0" applyFill="1" applyAlignment="1" applyProtection="1">
      <alignment horizontal="left" vertical="center"/>
      <protection hidden="1"/>
    </xf>
    <xf numFmtId="0" fontId="0" fillId="9" borderId="0" xfId="0" applyFill="1" applyAlignment="1" applyProtection="1">
      <alignment horizontal="center"/>
      <protection hidden="1"/>
    </xf>
    <xf numFmtId="0" fontId="0" fillId="9" borderId="0" xfId="0" applyFill="1" applyAlignment="1" applyProtection="1">
      <alignment vertical="top" wrapText="1"/>
      <protection hidden="1"/>
    </xf>
    <xf numFmtId="0" fontId="0" fillId="10" borderId="28" xfId="0" applyFill="1" applyBorder="1" applyProtection="1">
      <protection hidden="1"/>
    </xf>
    <xf numFmtId="0" fontId="0" fillId="10" borderId="29" xfId="0" applyFill="1" applyBorder="1" applyAlignment="1" applyProtection="1">
      <alignment vertical="top"/>
      <protection hidden="1"/>
    </xf>
    <xf numFmtId="0" fontId="0" fillId="10" borderId="29" xfId="0" applyFill="1" applyBorder="1" applyProtection="1">
      <protection hidden="1"/>
    </xf>
    <xf numFmtId="0" fontId="0" fillId="10" borderId="30" xfId="0" applyFill="1" applyBorder="1" applyProtection="1">
      <protection hidden="1"/>
    </xf>
    <xf numFmtId="0" fontId="0" fillId="10" borderId="33" xfId="0" applyFill="1" applyBorder="1" applyAlignment="1" applyProtection="1">
      <alignment vertical="center"/>
      <protection hidden="1"/>
    </xf>
    <xf numFmtId="0" fontId="0" fillId="10" borderId="24" xfId="0" applyFill="1" applyBorder="1" applyAlignment="1" applyProtection="1">
      <alignment vertical="center"/>
      <protection hidden="1"/>
    </xf>
    <xf numFmtId="0" fontId="0" fillId="10" borderId="24" xfId="0" applyFill="1" applyBorder="1" applyAlignment="1" applyProtection="1">
      <alignment horizontal="right" vertical="top" wrapText="1"/>
      <protection hidden="1"/>
    </xf>
    <xf numFmtId="0" fontId="30" fillId="9" borderId="0" xfId="0" applyFont="1" applyFill="1" applyAlignment="1" applyProtection="1">
      <alignment vertical="center"/>
      <protection hidden="1"/>
    </xf>
    <xf numFmtId="166" fontId="0" fillId="9" borderId="0" xfId="0" applyNumberFormat="1" applyFill="1" applyAlignment="1" applyProtection="1">
      <alignment horizontal="left"/>
      <protection hidden="1"/>
    </xf>
    <xf numFmtId="1" fontId="0" fillId="9" borderId="0" xfId="0" applyNumberFormat="1" applyFill="1" applyAlignment="1" applyProtection="1">
      <alignment horizontal="center"/>
      <protection hidden="1"/>
    </xf>
    <xf numFmtId="2" fontId="0" fillId="3" borderId="9" xfId="0" applyNumberFormat="1" applyFill="1" applyBorder="1" applyAlignment="1" applyProtection="1">
      <alignment horizontal="center"/>
      <protection hidden="1"/>
    </xf>
    <xf numFmtId="1" fontId="31" fillId="11" borderId="9" xfId="0" applyNumberFormat="1" applyFont="1" applyFill="1" applyBorder="1" applyAlignment="1" applyProtection="1">
      <alignment horizontal="center"/>
      <protection locked="0"/>
    </xf>
    <xf numFmtId="1" fontId="23" fillId="12" borderId="9" xfId="0" applyNumberFormat="1" applyFont="1" applyFill="1" applyBorder="1" applyAlignment="1" applyProtection="1">
      <alignment horizontal="center"/>
      <protection hidden="1"/>
    </xf>
    <xf numFmtId="1" fontId="23" fillId="9" borderId="0" xfId="0" applyNumberFormat="1" applyFont="1" applyFill="1" applyAlignment="1" applyProtection="1">
      <alignment horizontal="center"/>
      <protection hidden="1"/>
    </xf>
    <xf numFmtId="2" fontId="0" fillId="9" borderId="0" xfId="0" applyNumberFormat="1" applyFill="1" applyAlignment="1" applyProtection="1">
      <alignment horizontal="center"/>
      <protection hidden="1"/>
    </xf>
    <xf numFmtId="2" fontId="31" fillId="11" borderId="9" xfId="0" applyNumberFormat="1" applyFont="1" applyFill="1" applyBorder="1" applyAlignment="1" applyProtection="1">
      <alignment horizontal="center"/>
      <protection locked="0"/>
    </xf>
    <xf numFmtId="0" fontId="23" fillId="12" borderId="0" xfId="0" applyFont="1" applyFill="1" applyAlignment="1" applyProtection="1">
      <alignment vertical="center"/>
      <protection hidden="1"/>
    </xf>
    <xf numFmtId="0" fontId="32" fillId="12" borderId="0" xfId="0" applyFont="1" applyFill="1" applyAlignment="1" applyProtection="1">
      <alignment vertical="center"/>
      <protection hidden="1"/>
    </xf>
    <xf numFmtId="0" fontId="23" fillId="13" borderId="9" xfId="0" applyFont="1" applyFill="1" applyBorder="1" applyProtection="1">
      <protection hidden="1"/>
    </xf>
    <xf numFmtId="0" fontId="23" fillId="13" borderId="9" xfId="0" applyFont="1" applyFill="1" applyBorder="1" applyAlignment="1" applyProtection="1">
      <alignment horizontal="center"/>
      <protection hidden="1"/>
    </xf>
    <xf numFmtId="0" fontId="23" fillId="13" borderId="9" xfId="0" applyFont="1" applyFill="1" applyBorder="1" applyAlignment="1" applyProtection="1">
      <alignment horizontal="center" wrapText="1"/>
      <protection hidden="1"/>
    </xf>
    <xf numFmtId="0" fontId="24" fillId="13" borderId="9" xfId="0" applyFont="1" applyFill="1" applyBorder="1" applyProtection="1">
      <protection hidden="1"/>
    </xf>
    <xf numFmtId="0" fontId="32" fillId="12" borderId="19" xfId="0" applyFont="1" applyFill="1" applyBorder="1" applyAlignment="1" applyProtection="1">
      <alignment vertical="center"/>
      <protection hidden="1"/>
    </xf>
    <xf numFmtId="0" fontId="26" fillId="9" borderId="0" xfId="0" applyFont="1" applyFill="1" applyAlignment="1" applyProtection="1">
      <alignment horizontal="right"/>
      <protection hidden="1"/>
    </xf>
    <xf numFmtId="2" fontId="0" fillId="9" borderId="1" xfId="0" applyNumberFormat="1" applyFill="1" applyBorder="1" applyAlignment="1" applyProtection="1">
      <alignment horizontal="center"/>
      <protection hidden="1"/>
    </xf>
    <xf numFmtId="2" fontId="0" fillId="9" borderId="5" xfId="0" applyNumberFormat="1" applyFill="1" applyBorder="1" applyAlignment="1" applyProtection="1">
      <alignment horizontal="center"/>
      <protection hidden="1"/>
    </xf>
    <xf numFmtId="1" fontId="0" fillId="9" borderId="13" xfId="0" applyNumberFormat="1" applyFill="1" applyBorder="1" applyAlignment="1" applyProtection="1">
      <alignment horizontal="center"/>
      <protection hidden="1"/>
    </xf>
    <xf numFmtId="2" fontId="0" fillId="9" borderId="18" xfId="0" applyNumberFormat="1" applyFill="1" applyBorder="1" applyAlignment="1" applyProtection="1">
      <alignment horizontal="center"/>
      <protection hidden="1"/>
    </xf>
    <xf numFmtId="0" fontId="31" fillId="11" borderId="21" xfId="0" applyFont="1" applyFill="1" applyBorder="1" applyAlignment="1" applyProtection="1">
      <alignment horizontal="center"/>
      <protection locked="0"/>
    </xf>
    <xf numFmtId="0" fontId="31" fillId="11" borderId="22" xfId="0" applyFont="1" applyFill="1" applyBorder="1" applyAlignment="1" applyProtection="1">
      <alignment horizontal="center"/>
      <protection locked="0"/>
    </xf>
    <xf numFmtId="0" fontId="31" fillId="11" borderId="35" xfId="0" applyFont="1" applyFill="1" applyBorder="1" applyAlignment="1" applyProtection="1">
      <alignment horizontal="center"/>
      <protection locked="0"/>
    </xf>
    <xf numFmtId="0" fontId="31" fillId="11" borderId="23" xfId="0" applyFont="1" applyFill="1" applyBorder="1" applyAlignment="1" applyProtection="1">
      <alignment horizontal="center"/>
      <protection locked="0"/>
    </xf>
    <xf numFmtId="168" fontId="24" fillId="12" borderId="9" xfId="0" applyNumberFormat="1" applyFont="1" applyFill="1" applyBorder="1" applyAlignment="1" applyProtection="1">
      <alignment horizontal="left"/>
      <protection hidden="1"/>
    </xf>
    <xf numFmtId="0" fontId="31" fillId="0" borderId="9" xfId="0" applyFont="1" applyBorder="1" applyAlignment="1" applyProtection="1">
      <alignment horizontal="center"/>
      <protection locked="0"/>
    </xf>
    <xf numFmtId="2" fontId="26" fillId="5" borderId="9" xfId="0" applyNumberFormat="1" applyFont="1" applyFill="1" applyBorder="1" applyAlignment="1" applyProtection="1">
      <alignment horizontal="center"/>
      <protection hidden="1"/>
    </xf>
    <xf numFmtId="2" fontId="26" fillId="7" borderId="9" xfId="0" applyNumberFormat="1" applyFont="1" applyFill="1" applyBorder="1" applyAlignment="1" applyProtection="1">
      <alignment horizontal="center"/>
      <protection hidden="1"/>
    </xf>
    <xf numFmtId="2" fontId="0" fillId="5" borderId="7" xfId="0" applyNumberFormat="1" applyFill="1" applyBorder="1" applyAlignment="1" applyProtection="1">
      <alignment horizontal="center"/>
      <protection hidden="1"/>
    </xf>
    <xf numFmtId="2" fontId="0" fillId="7" borderId="8" xfId="0" applyNumberFormat="1" applyFill="1" applyBorder="1" applyAlignment="1" applyProtection="1">
      <alignment horizontal="center"/>
      <protection hidden="1"/>
    </xf>
    <xf numFmtId="2" fontId="0" fillId="7" borderId="15" xfId="0" applyNumberFormat="1" applyFill="1" applyBorder="1" applyAlignment="1" applyProtection="1">
      <alignment horizontal="center"/>
      <protection hidden="1"/>
    </xf>
    <xf numFmtId="2" fontId="0" fillId="5" borderId="37" xfId="0" applyNumberFormat="1" applyFill="1" applyBorder="1" applyAlignment="1" applyProtection="1">
      <alignment horizontal="center"/>
      <protection hidden="1"/>
    </xf>
    <xf numFmtId="2" fontId="0" fillId="7" borderId="38" xfId="0" applyNumberFormat="1" applyFill="1" applyBorder="1" applyAlignment="1" applyProtection="1">
      <alignment horizontal="center"/>
      <protection hidden="1"/>
    </xf>
    <xf numFmtId="0" fontId="23" fillId="13" borderId="6" xfId="0" applyFont="1" applyFill="1" applyBorder="1" applyAlignment="1" applyProtection="1">
      <alignment vertical="center"/>
      <protection hidden="1"/>
    </xf>
    <xf numFmtId="0" fontId="0" fillId="14" borderId="6" xfId="0" applyFill="1" applyBorder="1" applyAlignment="1" applyProtection="1">
      <alignment horizontal="center" wrapText="1"/>
      <protection hidden="1"/>
    </xf>
    <xf numFmtId="0" fontId="0" fillId="15" borderId="5" xfId="0" applyFill="1" applyBorder="1" applyAlignment="1" applyProtection="1">
      <alignment horizontal="center" wrapText="1"/>
      <protection hidden="1"/>
    </xf>
    <xf numFmtId="179" fontId="23" fillId="13" borderId="1" xfId="0" applyNumberFormat="1" applyFont="1" applyFill="1" applyBorder="1" applyAlignment="1" applyProtection="1">
      <alignment horizontal="center" vertical="center"/>
      <protection hidden="1"/>
    </xf>
    <xf numFmtId="2" fontId="24" fillId="12" borderId="26" xfId="0" applyNumberFormat="1" applyFont="1" applyFill="1" applyBorder="1" applyAlignment="1" applyProtection="1">
      <alignment horizontal="center"/>
      <protection hidden="1"/>
    </xf>
    <xf numFmtId="2" fontId="24" fillId="12" borderId="5" xfId="0" applyNumberFormat="1" applyFont="1" applyFill="1" applyBorder="1" applyAlignment="1" applyProtection="1">
      <alignment horizontal="center"/>
      <protection hidden="1"/>
    </xf>
    <xf numFmtId="0" fontId="24" fillId="13" borderId="39" xfId="0" applyFont="1" applyFill="1" applyBorder="1" applyProtection="1">
      <protection hidden="1"/>
    </xf>
    <xf numFmtId="0" fontId="23" fillId="13" borderId="1" xfId="0" applyFont="1" applyFill="1" applyBorder="1" applyProtection="1">
      <protection hidden="1"/>
    </xf>
    <xf numFmtId="1" fontId="26" fillId="16" borderId="26" xfId="0" applyNumberFormat="1" applyFont="1" applyFill="1" applyBorder="1" applyAlignment="1" applyProtection="1">
      <alignment horizontal="center"/>
      <protection hidden="1"/>
    </xf>
    <xf numFmtId="0" fontId="23" fillId="13" borderId="13" xfId="0" applyFont="1" applyFill="1" applyBorder="1" applyProtection="1">
      <protection hidden="1"/>
    </xf>
    <xf numFmtId="0" fontId="24" fillId="13" borderId="16" xfId="0" applyFont="1" applyFill="1" applyBorder="1" applyAlignment="1" applyProtection="1">
      <alignment horizontal="right"/>
      <protection hidden="1"/>
    </xf>
    <xf numFmtId="0" fontId="0" fillId="0" borderId="0" xfId="0" quotePrefix="1" applyAlignment="1">
      <alignment horizontal="right"/>
    </xf>
    <xf numFmtId="2" fontId="0" fillId="9" borderId="0" xfId="0" applyNumberFormat="1" applyFill="1" applyProtection="1">
      <protection hidden="1"/>
    </xf>
    <xf numFmtId="1" fontId="26" fillId="15" borderId="26" xfId="0" applyNumberFormat="1" applyFont="1" applyFill="1" applyBorder="1" applyAlignment="1" applyProtection="1">
      <alignment horizontal="center"/>
      <protection hidden="1"/>
    </xf>
    <xf numFmtId="2" fontId="23" fillId="12" borderId="9" xfId="0" applyNumberFormat="1" applyFont="1" applyFill="1" applyBorder="1" applyAlignment="1" applyProtection="1">
      <alignment horizontal="center"/>
      <protection hidden="1"/>
    </xf>
    <xf numFmtId="0" fontId="23" fillId="9" borderId="0" xfId="0" applyFont="1" applyFill="1" applyAlignment="1" applyProtection="1">
      <alignment horizontal="center"/>
      <protection hidden="1"/>
    </xf>
    <xf numFmtId="170" fontId="3" fillId="11" borderId="4" xfId="3" applyNumberFormat="1" applyFont="1" applyFill="1" applyBorder="1" applyAlignment="1" applyProtection="1">
      <alignment horizontal="center"/>
      <protection locked="0"/>
    </xf>
    <xf numFmtId="170" fontId="3" fillId="11" borderId="12" xfId="3" applyNumberFormat="1" applyFont="1" applyFill="1" applyBorder="1" applyAlignment="1" applyProtection="1">
      <alignment horizontal="center"/>
      <protection locked="0"/>
    </xf>
    <xf numFmtId="1" fontId="35" fillId="11" borderId="9" xfId="0" applyNumberFormat="1" applyFont="1" applyFill="1" applyBorder="1" applyAlignment="1" applyProtection="1">
      <alignment horizontal="center"/>
      <protection locked="0"/>
    </xf>
    <xf numFmtId="0" fontId="33" fillId="18" borderId="17" xfId="3" applyFont="1" applyFill="1" applyBorder="1" applyAlignment="1" applyProtection="1">
      <alignment horizontal="center"/>
      <protection hidden="1"/>
    </xf>
    <xf numFmtId="0" fontId="33" fillId="18" borderId="41" xfId="3" applyFont="1" applyFill="1" applyBorder="1" applyAlignment="1" applyProtection="1">
      <alignment horizontal="center"/>
      <protection hidden="1"/>
    </xf>
    <xf numFmtId="0" fontId="33" fillId="18" borderId="42" xfId="3" applyFont="1" applyFill="1" applyBorder="1" applyAlignment="1" applyProtection="1">
      <alignment horizontal="center"/>
      <protection hidden="1"/>
    </xf>
    <xf numFmtId="0" fontId="33" fillId="18" borderId="44" xfId="3" applyFont="1" applyFill="1" applyBorder="1" applyAlignment="1" applyProtection="1">
      <alignment horizontal="center"/>
      <protection hidden="1"/>
    </xf>
    <xf numFmtId="1" fontId="35" fillId="11" borderId="11" xfId="0" applyNumberFormat="1" applyFont="1" applyFill="1" applyBorder="1" applyAlignment="1" applyProtection="1">
      <alignment horizontal="center"/>
      <protection locked="0"/>
    </xf>
    <xf numFmtId="2" fontId="3" fillId="19" borderId="17" xfId="3" applyNumberFormat="1" applyFont="1" applyFill="1" applyBorder="1" applyAlignment="1" applyProtection="1">
      <alignment horizontal="center"/>
      <protection hidden="1"/>
    </xf>
    <xf numFmtId="0" fontId="3" fillId="19" borderId="45" xfId="3" applyFont="1" applyFill="1" applyBorder="1" applyAlignment="1" applyProtection="1">
      <alignment horizontal="center"/>
      <protection hidden="1"/>
    </xf>
    <xf numFmtId="2" fontId="3" fillId="19" borderId="19" xfId="3" applyNumberFormat="1" applyFont="1" applyFill="1" applyBorder="1" applyAlignment="1" applyProtection="1">
      <alignment horizontal="center"/>
      <protection hidden="1"/>
    </xf>
    <xf numFmtId="0" fontId="33" fillId="18" borderId="31" xfId="3" applyFont="1" applyFill="1" applyBorder="1" applyAlignment="1" applyProtection="1">
      <alignment horizontal="center"/>
      <protection hidden="1"/>
    </xf>
    <xf numFmtId="2" fontId="21" fillId="11" borderId="8" xfId="3" applyNumberFormat="1" applyFont="1" applyFill="1" applyBorder="1" applyAlignment="1" applyProtection="1">
      <alignment horizontal="center" vertical="center"/>
      <protection locked="0" hidden="1"/>
    </xf>
    <xf numFmtId="1" fontId="35" fillId="11" borderId="13" xfId="0" applyNumberFormat="1" applyFont="1" applyFill="1" applyBorder="1" applyAlignment="1" applyProtection="1">
      <alignment horizontal="center"/>
      <protection locked="0"/>
    </xf>
    <xf numFmtId="0" fontId="3" fillId="19" borderId="47" xfId="3" applyFont="1" applyFill="1" applyBorder="1" applyAlignment="1" applyProtection="1">
      <alignment horizontal="center"/>
      <protection hidden="1"/>
    </xf>
    <xf numFmtId="2" fontId="3" fillId="19" borderId="41" xfId="3" applyNumberFormat="1" applyFont="1" applyFill="1" applyBorder="1" applyAlignment="1" applyProtection="1">
      <alignment horizontal="center"/>
      <protection hidden="1"/>
    </xf>
    <xf numFmtId="2" fontId="3" fillId="19" borderId="48" xfId="3" applyNumberFormat="1" applyFont="1" applyFill="1" applyBorder="1" applyAlignment="1" applyProtection="1">
      <alignment horizontal="center"/>
      <protection hidden="1"/>
    </xf>
    <xf numFmtId="0" fontId="36" fillId="18" borderId="33" xfId="3" applyFont="1" applyFill="1" applyBorder="1" applyAlignment="1" applyProtection="1">
      <alignment horizontal="center"/>
      <protection hidden="1"/>
    </xf>
    <xf numFmtId="0" fontId="36" fillId="18" borderId="34" xfId="3" applyFont="1" applyFill="1" applyBorder="1" applyAlignment="1" applyProtection="1">
      <alignment horizontal="center"/>
      <protection hidden="1"/>
    </xf>
    <xf numFmtId="0" fontId="33" fillId="18" borderId="37" xfId="3" applyFont="1" applyFill="1" applyBorder="1" applyAlignment="1" applyProtection="1">
      <alignment horizontal="center"/>
      <protection hidden="1"/>
    </xf>
    <xf numFmtId="0" fontId="33" fillId="18" borderId="38" xfId="3" applyFont="1" applyFill="1" applyBorder="1" applyAlignment="1" applyProtection="1">
      <alignment horizontal="center"/>
      <protection hidden="1"/>
    </xf>
    <xf numFmtId="0" fontId="3" fillId="19" borderId="49" xfId="3" applyFont="1" applyFill="1" applyBorder="1" applyAlignment="1" applyProtection="1">
      <alignment horizontal="center"/>
      <protection hidden="1"/>
    </xf>
    <xf numFmtId="2" fontId="3" fillId="19" borderId="37" xfId="3" applyNumberFormat="1" applyFont="1" applyFill="1" applyBorder="1" applyAlignment="1" applyProtection="1">
      <alignment horizontal="center"/>
      <protection hidden="1"/>
    </xf>
    <xf numFmtId="2" fontId="3" fillId="19" borderId="50" xfId="3" applyNumberFormat="1" applyFont="1" applyFill="1" applyBorder="1" applyAlignment="1" applyProtection="1">
      <alignment horizontal="center"/>
      <protection hidden="1"/>
    </xf>
    <xf numFmtId="0" fontId="33" fillId="18" borderId="33" xfId="3" applyFont="1" applyFill="1" applyBorder="1" applyAlignment="1" applyProtection="1">
      <alignment horizontal="center"/>
      <protection hidden="1"/>
    </xf>
    <xf numFmtId="0" fontId="3" fillId="3" borderId="2" xfId="3" applyFont="1" applyFill="1" applyBorder="1" applyAlignment="1" applyProtection="1">
      <alignment vertical="center"/>
      <protection hidden="1"/>
    </xf>
    <xf numFmtId="0" fontId="3" fillId="3" borderId="3" xfId="3" applyFont="1" applyFill="1" applyBorder="1" applyAlignment="1" applyProtection="1">
      <alignment horizontal="center"/>
      <protection hidden="1"/>
    </xf>
    <xf numFmtId="0" fontId="3" fillId="3" borderId="10" xfId="3" applyFont="1" applyFill="1" applyBorder="1" applyAlignment="1" applyProtection="1">
      <alignment horizontal="center"/>
      <protection hidden="1"/>
    </xf>
    <xf numFmtId="0" fontId="33" fillId="18" borderId="54" xfId="3" applyFont="1" applyFill="1" applyBorder="1" applyAlignment="1" applyProtection="1">
      <alignment horizontal="center"/>
      <protection hidden="1"/>
    </xf>
    <xf numFmtId="0" fontId="33" fillId="18" borderId="53" xfId="3" applyFont="1" applyFill="1" applyBorder="1" applyAlignment="1" applyProtection="1">
      <alignment horizontal="center"/>
      <protection hidden="1"/>
    </xf>
    <xf numFmtId="0" fontId="3" fillId="9" borderId="0" xfId="3" applyFont="1" applyFill="1" applyProtection="1">
      <protection hidden="1"/>
    </xf>
    <xf numFmtId="0" fontId="3" fillId="9" borderId="0" xfId="3" applyFont="1" applyFill="1" applyAlignment="1" applyProtection="1">
      <alignment horizontal="center"/>
      <protection hidden="1"/>
    </xf>
    <xf numFmtId="2" fontId="3" fillId="9" borderId="0" xfId="3" applyNumberFormat="1" applyFont="1" applyFill="1" applyAlignment="1" applyProtection="1">
      <alignment horizontal="center"/>
      <protection hidden="1"/>
    </xf>
    <xf numFmtId="0" fontId="33" fillId="9" borderId="0" xfId="3" applyFont="1" applyFill="1" applyAlignment="1" applyProtection="1">
      <alignment horizontal="center"/>
      <protection hidden="1"/>
    </xf>
    <xf numFmtId="0" fontId="33" fillId="9" borderId="0" xfId="3" applyFont="1" applyFill="1" applyProtection="1">
      <protection hidden="1"/>
    </xf>
    <xf numFmtId="0" fontId="3" fillId="9" borderId="0" xfId="3" applyFont="1" applyFill="1" applyAlignment="1" applyProtection="1">
      <alignment horizontal="left"/>
      <protection hidden="1"/>
    </xf>
    <xf numFmtId="171" fontId="3" fillId="3" borderId="10" xfId="3" applyNumberFormat="1" applyFont="1" applyFill="1" applyBorder="1" applyAlignment="1" applyProtection="1">
      <alignment horizontal="center" vertical="center"/>
      <protection hidden="1"/>
    </xf>
    <xf numFmtId="0" fontId="3" fillId="9" borderId="0" xfId="3" applyFont="1" applyFill="1" applyAlignment="1" applyProtection="1">
      <alignment horizontal="center" vertical="center"/>
      <protection hidden="1"/>
    </xf>
    <xf numFmtId="0" fontId="37" fillId="16" borderId="9" xfId="0" applyFont="1" applyFill="1" applyBorder="1" applyAlignment="1" applyProtection="1">
      <alignment horizontal="center"/>
      <protection hidden="1"/>
    </xf>
    <xf numFmtId="0" fontId="3" fillId="5" borderId="9" xfId="3" applyFont="1" applyFill="1" applyBorder="1" applyAlignment="1" applyProtection="1">
      <alignment horizontal="center"/>
      <protection hidden="1"/>
    </xf>
    <xf numFmtId="2" fontId="3" fillId="9" borderId="0" xfId="3" applyNumberFormat="1" applyFont="1" applyFill="1" applyAlignment="1" applyProtection="1">
      <alignment horizontal="center" vertical="center"/>
      <protection hidden="1"/>
    </xf>
    <xf numFmtId="0" fontId="40" fillId="9" borderId="0" xfId="3" applyFont="1" applyFill="1" applyAlignment="1" applyProtection="1">
      <alignment horizontal="center"/>
      <protection hidden="1"/>
    </xf>
    <xf numFmtId="0" fontId="33" fillId="13" borderId="52" xfId="3" applyFont="1" applyFill="1" applyBorder="1" applyAlignment="1" applyProtection="1">
      <alignment vertical="center"/>
      <protection hidden="1"/>
    </xf>
    <xf numFmtId="0" fontId="33" fillId="18" borderId="40" xfId="3" applyFont="1" applyFill="1" applyBorder="1" applyAlignment="1" applyProtection="1">
      <alignment horizontal="center"/>
      <protection hidden="1"/>
    </xf>
    <xf numFmtId="0" fontId="33" fillId="18" borderId="28" xfId="3" applyFont="1" applyFill="1" applyBorder="1" applyAlignment="1" applyProtection="1">
      <alignment horizontal="center"/>
      <protection hidden="1"/>
    </xf>
    <xf numFmtId="2" fontId="3" fillId="17" borderId="28" xfId="3" applyNumberFormat="1" applyFont="1" applyFill="1" applyBorder="1" applyAlignment="1" applyProtection="1">
      <alignment horizontal="center"/>
      <protection hidden="1"/>
    </xf>
    <xf numFmtId="2" fontId="3" fillId="17" borderId="29" xfId="3" applyNumberFormat="1" applyFont="1" applyFill="1" applyBorder="1" applyAlignment="1" applyProtection="1">
      <alignment horizontal="center"/>
      <protection hidden="1"/>
    </xf>
    <xf numFmtId="2" fontId="3" fillId="17" borderId="30" xfId="3" applyNumberFormat="1" applyFont="1" applyFill="1" applyBorder="1" applyAlignment="1" applyProtection="1">
      <alignment horizontal="center"/>
      <protection hidden="1"/>
    </xf>
    <xf numFmtId="0" fontId="38" fillId="13" borderId="54" xfId="3" applyFont="1" applyFill="1" applyBorder="1" applyAlignment="1" applyProtection="1">
      <alignment horizontal="center" vertical="center"/>
      <protection hidden="1"/>
    </xf>
    <xf numFmtId="0" fontId="33" fillId="18" borderId="43" xfId="3" applyFont="1" applyFill="1" applyBorder="1" applyAlignment="1" applyProtection="1">
      <alignment horizontal="center"/>
      <protection hidden="1"/>
    </xf>
    <xf numFmtId="2" fontId="3" fillId="17" borderId="31" xfId="3" applyNumberFormat="1" applyFont="1" applyFill="1" applyBorder="1" applyAlignment="1" applyProtection="1">
      <alignment horizontal="center"/>
      <protection hidden="1"/>
    </xf>
    <xf numFmtId="2" fontId="3" fillId="17" borderId="0" xfId="3" applyNumberFormat="1" applyFont="1" applyFill="1" applyAlignment="1" applyProtection="1">
      <alignment horizontal="center"/>
      <protection hidden="1"/>
    </xf>
    <xf numFmtId="2" fontId="3" fillId="17" borderId="32" xfId="3" applyNumberFormat="1" applyFont="1" applyFill="1" applyBorder="1" applyAlignment="1" applyProtection="1">
      <alignment horizontal="center"/>
      <protection hidden="1"/>
    </xf>
    <xf numFmtId="0" fontId="34" fillId="9" borderId="0" xfId="0" applyFont="1" applyFill="1" applyAlignment="1" applyProtection="1">
      <alignment horizontal="center"/>
      <protection hidden="1"/>
    </xf>
    <xf numFmtId="0" fontId="33" fillId="13" borderId="53" xfId="3" applyFont="1" applyFill="1" applyBorder="1" applyAlignment="1" applyProtection="1">
      <alignment vertical="center"/>
      <protection hidden="1"/>
    </xf>
    <xf numFmtId="0" fontId="33" fillId="18" borderId="36" xfId="3" applyFont="1" applyFill="1" applyBorder="1" applyAlignment="1" applyProtection="1">
      <alignment horizontal="center"/>
      <protection hidden="1"/>
    </xf>
    <xf numFmtId="0" fontId="33" fillId="18" borderId="14" xfId="3" applyFont="1" applyFill="1" applyBorder="1" applyAlignment="1" applyProtection="1">
      <alignment horizontal="center"/>
      <protection hidden="1"/>
    </xf>
    <xf numFmtId="0" fontId="33" fillId="18" borderId="13" xfId="3" applyFont="1" applyFill="1" applyBorder="1" applyAlignment="1" applyProtection="1">
      <alignment horizontal="center"/>
      <protection hidden="1"/>
    </xf>
    <xf numFmtId="2" fontId="3" fillId="17" borderId="33" xfId="3" applyNumberFormat="1" applyFont="1" applyFill="1" applyBorder="1" applyAlignment="1" applyProtection="1">
      <alignment horizontal="center"/>
      <protection hidden="1"/>
    </xf>
    <xf numFmtId="2" fontId="3" fillId="17" borderId="24" xfId="3" applyNumberFormat="1" applyFont="1" applyFill="1" applyBorder="1" applyAlignment="1" applyProtection="1">
      <alignment horizontal="center"/>
      <protection hidden="1"/>
    </xf>
    <xf numFmtId="2" fontId="3" fillId="17" borderId="34" xfId="3" applyNumberFormat="1" applyFont="1" applyFill="1" applyBorder="1" applyAlignment="1" applyProtection="1">
      <alignment horizontal="center"/>
      <protection hidden="1"/>
    </xf>
    <xf numFmtId="0" fontId="3" fillId="9" borderId="0" xfId="3" quotePrefix="1" applyFont="1" applyFill="1" applyAlignment="1" applyProtection="1">
      <alignment horizontal="center"/>
      <protection hidden="1"/>
    </xf>
    <xf numFmtId="2" fontId="33" fillId="9" borderId="0" xfId="3" applyNumberFormat="1" applyFont="1" applyFill="1" applyAlignment="1" applyProtection="1">
      <alignment horizontal="center"/>
      <protection hidden="1"/>
    </xf>
    <xf numFmtId="1" fontId="3" fillId="3" borderId="14" xfId="3" applyNumberFormat="1" applyFont="1" applyFill="1" applyBorder="1" applyAlignment="1" applyProtection="1">
      <alignment horizontal="left"/>
      <protection hidden="1"/>
    </xf>
    <xf numFmtId="2" fontId="3" fillId="3" borderId="13" xfId="3" quotePrefix="1" applyNumberFormat="1" applyFont="1" applyFill="1" applyBorder="1" applyAlignment="1" applyProtection="1">
      <alignment horizontal="center"/>
      <protection hidden="1"/>
    </xf>
    <xf numFmtId="2" fontId="3" fillId="3" borderId="15" xfId="3" quotePrefix="1" applyNumberFormat="1" applyFont="1" applyFill="1" applyBorder="1" applyAlignment="1" applyProtection="1">
      <alignment horizontal="center"/>
      <protection hidden="1"/>
    </xf>
    <xf numFmtId="2" fontId="3" fillId="3" borderId="57" xfId="3" quotePrefix="1" applyNumberFormat="1" applyFont="1" applyFill="1" applyBorder="1" applyAlignment="1" applyProtection="1">
      <alignment horizontal="left"/>
      <protection hidden="1"/>
    </xf>
    <xf numFmtId="2" fontId="3" fillId="5" borderId="46" xfId="3" quotePrefix="1" applyNumberFormat="1" applyFont="1" applyFill="1" applyBorder="1" applyAlignment="1" applyProtection="1">
      <alignment horizontal="center"/>
      <protection hidden="1"/>
    </xf>
    <xf numFmtId="2" fontId="3" fillId="5" borderId="13" xfId="3" quotePrefix="1" applyNumberFormat="1" applyFont="1" applyFill="1" applyBorder="1" applyAlignment="1" applyProtection="1">
      <alignment horizontal="center"/>
      <protection hidden="1"/>
    </xf>
    <xf numFmtId="2" fontId="3" fillId="5" borderId="25" xfId="3" quotePrefix="1" applyNumberFormat="1" applyFont="1" applyFill="1" applyBorder="1" applyAlignment="1" applyProtection="1">
      <alignment horizontal="center"/>
      <protection hidden="1"/>
    </xf>
    <xf numFmtId="0" fontId="3" fillId="3" borderId="0" xfId="3" applyFont="1" applyFill="1" applyAlignment="1" applyProtection="1">
      <alignment horizontal="center"/>
      <protection hidden="1"/>
    </xf>
    <xf numFmtId="2" fontId="3" fillId="3" borderId="14" xfId="3" quotePrefix="1" applyNumberFormat="1" applyFont="1" applyFill="1" applyBorder="1" applyAlignment="1" applyProtection="1">
      <alignment horizontal="center"/>
      <protection hidden="1"/>
    </xf>
    <xf numFmtId="1" fontId="3" fillId="3" borderId="37" xfId="3" applyNumberFormat="1" applyFont="1" applyFill="1" applyBorder="1" applyAlignment="1" applyProtection="1">
      <alignment horizontal="center"/>
      <protection hidden="1"/>
    </xf>
    <xf numFmtId="1" fontId="3" fillId="3" borderId="24" xfId="3" applyNumberFormat="1" applyFont="1" applyFill="1" applyBorder="1" applyAlignment="1" applyProtection="1">
      <alignment horizontal="center"/>
      <protection hidden="1"/>
    </xf>
    <xf numFmtId="1" fontId="3" fillId="3" borderId="49" xfId="3" applyNumberFormat="1" applyFont="1" applyFill="1" applyBorder="1" applyAlignment="1" applyProtection="1">
      <alignment horizontal="center"/>
      <protection hidden="1"/>
    </xf>
    <xf numFmtId="2" fontId="3" fillId="3" borderId="34" xfId="3" applyNumberFormat="1" applyFont="1" applyFill="1" applyBorder="1" applyAlignment="1" applyProtection="1">
      <alignment horizontal="center"/>
      <protection hidden="1"/>
    </xf>
    <xf numFmtId="2" fontId="3" fillId="3" borderId="1" xfId="3" applyNumberFormat="1" applyFont="1" applyFill="1" applyBorder="1" applyAlignment="1" applyProtection="1">
      <alignment horizontal="center"/>
      <protection hidden="1"/>
    </xf>
    <xf numFmtId="2" fontId="3" fillId="3" borderId="6" xfId="3" applyNumberFormat="1" applyFont="1" applyFill="1" applyBorder="1" applyAlignment="1" applyProtection="1">
      <alignment horizontal="center"/>
      <protection hidden="1"/>
    </xf>
    <xf numFmtId="2" fontId="3" fillId="3" borderId="5" xfId="3" applyNumberFormat="1" applyFont="1" applyFill="1" applyBorder="1" applyAlignment="1" applyProtection="1">
      <alignment horizontal="center"/>
      <protection hidden="1"/>
    </xf>
    <xf numFmtId="2" fontId="36" fillId="20" borderId="51" xfId="3" applyNumberFormat="1" applyFont="1" applyFill="1" applyBorder="1" applyAlignment="1" applyProtection="1">
      <alignment horizontal="center"/>
      <protection hidden="1"/>
    </xf>
    <xf numFmtId="4" fontId="3" fillId="3" borderId="34" xfId="3" applyNumberFormat="1" applyFont="1" applyFill="1" applyBorder="1" applyAlignment="1" applyProtection="1">
      <alignment horizontal="center"/>
      <protection hidden="1"/>
    </xf>
    <xf numFmtId="2" fontId="3" fillId="3" borderId="55" xfId="3" quotePrefix="1" applyNumberFormat="1" applyFont="1" applyFill="1" applyBorder="1" applyAlignment="1" applyProtection="1">
      <alignment horizontal="center"/>
      <protection hidden="1"/>
    </xf>
    <xf numFmtId="2" fontId="3" fillId="3" borderId="26" xfId="3" applyNumberFormat="1" applyFont="1" applyFill="1" applyBorder="1" applyAlignment="1" applyProtection="1">
      <alignment horizontal="center"/>
      <protection hidden="1"/>
    </xf>
    <xf numFmtId="0" fontId="3" fillId="9" borderId="13" xfId="3" applyFont="1" applyFill="1" applyBorder="1" applyAlignment="1" applyProtection="1">
      <alignment horizontal="center"/>
      <protection hidden="1"/>
    </xf>
    <xf numFmtId="164" fontId="3" fillId="9" borderId="13" xfId="3" applyNumberFormat="1" applyFont="1" applyFill="1" applyBorder="1" applyAlignment="1" applyProtection="1">
      <alignment horizontal="center"/>
      <protection hidden="1"/>
    </xf>
    <xf numFmtId="2" fontId="9" fillId="9" borderId="39" xfId="3" applyNumberFormat="1" applyFont="1" applyFill="1" applyBorder="1" applyAlignment="1" applyProtection="1">
      <alignment horizontal="center"/>
      <protection hidden="1"/>
    </xf>
    <xf numFmtId="1" fontId="33" fillId="9" borderId="0" xfId="3" applyNumberFormat="1" applyFont="1" applyFill="1" applyProtection="1">
      <protection hidden="1"/>
    </xf>
    <xf numFmtId="1" fontId="33" fillId="9" borderId="0" xfId="3" applyNumberFormat="1" applyFont="1" applyFill="1" applyAlignment="1" applyProtection="1">
      <alignment horizontal="center"/>
      <protection hidden="1"/>
    </xf>
    <xf numFmtId="0" fontId="3" fillId="9" borderId="31" xfId="3" applyFont="1" applyFill="1" applyBorder="1" applyProtection="1">
      <protection hidden="1"/>
    </xf>
    <xf numFmtId="0" fontId="3" fillId="9" borderId="32" xfId="3" applyFont="1" applyFill="1" applyBorder="1" applyAlignment="1" applyProtection="1">
      <alignment horizontal="center"/>
      <protection hidden="1"/>
    </xf>
    <xf numFmtId="1" fontId="3" fillId="3" borderId="3" xfId="3" applyNumberFormat="1" applyFont="1" applyFill="1" applyBorder="1" applyAlignment="1" applyProtection="1">
      <alignment horizontal="left"/>
      <protection hidden="1"/>
    </xf>
    <xf numFmtId="2" fontId="3" fillId="3" borderId="9" xfId="3" quotePrefix="1" applyNumberFormat="1" applyFont="1" applyFill="1" applyBorder="1" applyAlignment="1" applyProtection="1">
      <alignment horizontal="center"/>
      <protection hidden="1"/>
    </xf>
    <xf numFmtId="2" fontId="3" fillId="3" borderId="10" xfId="3" quotePrefix="1" applyNumberFormat="1" applyFont="1" applyFill="1" applyBorder="1" applyAlignment="1" applyProtection="1">
      <alignment horizontal="center"/>
      <protection hidden="1"/>
    </xf>
    <xf numFmtId="2" fontId="3" fillId="5" borderId="20" xfId="3" quotePrefix="1" applyNumberFormat="1" applyFont="1" applyFill="1" applyBorder="1" applyAlignment="1" applyProtection="1">
      <alignment horizontal="center"/>
      <protection hidden="1"/>
    </xf>
    <xf numFmtId="2" fontId="3" fillId="5" borderId="9" xfId="3" quotePrefix="1" applyNumberFormat="1" applyFont="1" applyFill="1" applyBorder="1" applyAlignment="1" applyProtection="1">
      <alignment horizontal="center"/>
      <protection hidden="1"/>
    </xf>
    <xf numFmtId="2" fontId="3" fillId="3" borderId="3" xfId="3" quotePrefix="1" applyNumberFormat="1" applyFont="1" applyFill="1" applyBorder="1" applyAlignment="1" applyProtection="1">
      <alignment horizontal="center"/>
      <protection hidden="1"/>
    </xf>
    <xf numFmtId="0" fontId="33" fillId="18" borderId="2" xfId="3" applyFont="1" applyFill="1" applyBorder="1" applyAlignment="1" applyProtection="1">
      <alignment horizontal="center"/>
      <protection hidden="1"/>
    </xf>
    <xf numFmtId="0" fontId="33" fillId="18" borderId="4" xfId="3" applyFont="1" applyFill="1" applyBorder="1" applyAlignment="1" applyProtection="1">
      <alignment horizontal="center"/>
      <protection hidden="1"/>
    </xf>
    <xf numFmtId="1" fontId="3" fillId="3" borderId="4" xfId="3" applyNumberFormat="1" applyFont="1" applyFill="1" applyBorder="1" applyAlignment="1" applyProtection="1">
      <alignment horizontal="left"/>
      <protection hidden="1"/>
    </xf>
    <xf numFmtId="2" fontId="3" fillId="3" borderId="11" xfId="3" quotePrefix="1" applyNumberFormat="1" applyFont="1" applyFill="1" applyBorder="1" applyAlignment="1" applyProtection="1">
      <alignment horizontal="center"/>
      <protection hidden="1"/>
    </xf>
    <xf numFmtId="2" fontId="3" fillId="3" borderId="12" xfId="3" quotePrefix="1" applyNumberFormat="1" applyFont="1" applyFill="1" applyBorder="1" applyAlignment="1" applyProtection="1">
      <alignment horizontal="center"/>
      <protection hidden="1"/>
    </xf>
    <xf numFmtId="2" fontId="3" fillId="3" borderId="53" xfId="3" quotePrefix="1" applyNumberFormat="1" applyFont="1" applyFill="1" applyBorder="1" applyAlignment="1" applyProtection="1">
      <alignment horizontal="left"/>
      <protection hidden="1"/>
    </xf>
    <xf numFmtId="2" fontId="3" fillId="3" borderId="4" xfId="3" quotePrefix="1" applyNumberFormat="1" applyFont="1" applyFill="1" applyBorder="1" applyAlignment="1" applyProtection="1">
      <alignment horizontal="center"/>
      <protection hidden="1"/>
    </xf>
    <xf numFmtId="166" fontId="9" fillId="9" borderId="0" xfId="3" applyNumberFormat="1" applyFont="1" applyFill="1" applyProtection="1">
      <protection hidden="1"/>
    </xf>
    <xf numFmtId="2" fontId="9" fillId="9" borderId="0" xfId="3" applyNumberFormat="1" applyFont="1" applyFill="1" applyAlignment="1" applyProtection="1">
      <alignment horizontal="center"/>
      <protection hidden="1"/>
    </xf>
    <xf numFmtId="1" fontId="9" fillId="16" borderId="1" xfId="3" applyNumberFormat="1" applyFont="1" applyFill="1" applyBorder="1" applyAlignment="1" applyProtection="1">
      <alignment horizontal="center"/>
      <protection hidden="1"/>
    </xf>
    <xf numFmtId="2" fontId="9" fillId="16" borderId="6" xfId="3" applyNumberFormat="1" applyFont="1" applyFill="1" applyBorder="1" applyAlignment="1" applyProtection="1">
      <alignment horizontal="center"/>
      <protection hidden="1"/>
    </xf>
    <xf numFmtId="2" fontId="9" fillId="16" borderId="5" xfId="3" applyNumberFormat="1" applyFont="1" applyFill="1" applyBorder="1" applyAlignment="1" applyProtection="1">
      <alignment horizontal="center"/>
      <protection hidden="1"/>
    </xf>
    <xf numFmtId="2" fontId="9" fillId="16" borderId="26" xfId="3" applyNumberFormat="1" applyFont="1" applyFill="1" applyBorder="1" applyAlignment="1" applyProtection="1">
      <alignment horizontal="center"/>
      <protection hidden="1"/>
    </xf>
    <xf numFmtId="2" fontId="9" fillId="16" borderId="20" xfId="3" applyNumberFormat="1" applyFont="1" applyFill="1" applyBorder="1" applyAlignment="1" applyProtection="1">
      <alignment horizontal="center"/>
      <protection hidden="1"/>
    </xf>
    <xf numFmtId="2" fontId="9" fillId="16" borderId="9" xfId="3" applyNumberFormat="1" applyFont="1" applyFill="1" applyBorder="1" applyAlignment="1" applyProtection="1">
      <alignment horizontal="center"/>
      <protection hidden="1"/>
    </xf>
    <xf numFmtId="2" fontId="36" fillId="12" borderId="1" xfId="3" applyNumberFormat="1" applyFont="1" applyFill="1" applyBorder="1" applyAlignment="1" applyProtection="1">
      <alignment horizontal="center"/>
      <protection hidden="1"/>
    </xf>
    <xf numFmtId="2" fontId="36" fillId="12" borderId="5" xfId="3" applyNumberFormat="1" applyFont="1" applyFill="1" applyBorder="1" applyAlignment="1" applyProtection="1">
      <alignment horizontal="center"/>
      <protection hidden="1"/>
    </xf>
    <xf numFmtId="2" fontId="3" fillId="11" borderId="36" xfId="3" applyNumberFormat="1" applyFont="1" applyFill="1" applyBorder="1" applyAlignment="1" applyProtection="1">
      <alignment horizontal="center"/>
      <protection locked="0" hidden="1"/>
    </xf>
    <xf numFmtId="2" fontId="3" fillId="11" borderId="15" xfId="3" applyNumberFormat="1" applyFont="1" applyFill="1" applyBorder="1" applyAlignment="1" applyProtection="1">
      <alignment horizontal="center"/>
      <protection locked="0"/>
    </xf>
    <xf numFmtId="2" fontId="3" fillId="11" borderId="10" xfId="3" applyNumberFormat="1" applyFont="1" applyFill="1" applyBorder="1" applyAlignment="1" applyProtection="1">
      <alignment horizontal="center"/>
      <protection locked="0"/>
    </xf>
    <xf numFmtId="2" fontId="3" fillId="11" borderId="12" xfId="3" applyNumberFormat="1" applyFont="1" applyFill="1" applyBorder="1" applyAlignment="1" applyProtection="1">
      <alignment horizontal="center"/>
      <protection locked="0"/>
    </xf>
    <xf numFmtId="2" fontId="41" fillId="9" borderId="0" xfId="0" applyNumberFormat="1" applyFont="1" applyFill="1" applyAlignment="1" applyProtection="1">
      <alignment horizontal="center"/>
      <protection hidden="1"/>
    </xf>
    <xf numFmtId="0" fontId="0" fillId="3" borderId="9" xfId="0" applyFill="1" applyBorder="1" applyProtection="1">
      <protection hidden="1"/>
    </xf>
    <xf numFmtId="2" fontId="0" fillId="3" borderId="13" xfId="0" applyNumberFormat="1" applyFill="1" applyBorder="1" applyAlignment="1" applyProtection="1">
      <alignment horizontal="center"/>
      <protection hidden="1"/>
    </xf>
    <xf numFmtId="0" fontId="24" fillId="12" borderId="0" xfId="0" applyFont="1" applyFill="1" applyAlignment="1" applyProtection="1">
      <alignment vertical="center"/>
      <protection hidden="1"/>
    </xf>
    <xf numFmtId="169" fontId="31" fillId="3" borderId="9" xfId="0" applyNumberFormat="1" applyFont="1" applyFill="1" applyBorder="1" applyAlignment="1" applyProtection="1">
      <alignment horizontal="center"/>
      <protection hidden="1"/>
    </xf>
    <xf numFmtId="169" fontId="24" fillId="21" borderId="9" xfId="0" applyNumberFormat="1" applyFont="1" applyFill="1" applyBorder="1" applyAlignment="1" applyProtection="1">
      <alignment horizontal="center"/>
      <protection hidden="1"/>
    </xf>
    <xf numFmtId="174" fontId="23" fillId="9" borderId="0" xfId="0" applyNumberFormat="1" applyFont="1" applyFill="1" applyAlignment="1" applyProtection="1">
      <alignment horizontal="center"/>
      <protection hidden="1"/>
    </xf>
    <xf numFmtId="173" fontId="31" fillId="3" borderId="9" xfId="0" applyNumberFormat="1" applyFont="1" applyFill="1" applyBorder="1" applyAlignment="1" applyProtection="1">
      <alignment horizontal="center"/>
      <protection hidden="1"/>
    </xf>
    <xf numFmtId="169" fontId="26" fillId="3" borderId="9" xfId="0" applyNumberFormat="1" applyFont="1" applyFill="1" applyBorder="1" applyAlignment="1" applyProtection="1">
      <alignment horizontal="center"/>
      <protection hidden="1"/>
    </xf>
    <xf numFmtId="169" fontId="0" fillId="3" borderId="9" xfId="0" applyNumberFormat="1" applyFill="1" applyBorder="1" applyAlignment="1" applyProtection="1">
      <alignment horizontal="center"/>
      <protection hidden="1"/>
    </xf>
    <xf numFmtId="9" fontId="0" fillId="3" borderId="9" xfId="0" applyNumberFormat="1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168" fontId="26" fillId="3" borderId="9" xfId="0" applyNumberFormat="1" applyFont="1" applyFill="1" applyBorder="1" applyAlignment="1" applyProtection="1">
      <alignment horizontal="center"/>
      <protection hidden="1"/>
    </xf>
    <xf numFmtId="172" fontId="31" fillId="3" borderId="9" xfId="0" applyNumberFormat="1" applyFont="1" applyFill="1" applyBorder="1" applyAlignment="1" applyProtection="1">
      <alignment horizontal="center"/>
      <protection hidden="1"/>
    </xf>
    <xf numFmtId="177" fontId="23" fillId="9" borderId="0" xfId="0" applyNumberFormat="1" applyFont="1" applyFill="1" applyProtection="1">
      <protection hidden="1"/>
    </xf>
    <xf numFmtId="0" fontId="25" fillId="9" borderId="0" xfId="1" applyFill="1" applyAlignment="1" applyProtection="1">
      <protection hidden="1"/>
    </xf>
    <xf numFmtId="10" fontId="23" fillId="9" borderId="0" xfId="0" applyNumberFormat="1" applyFont="1" applyFill="1" applyProtection="1">
      <protection hidden="1"/>
    </xf>
    <xf numFmtId="9" fontId="23" fillId="9" borderId="0" xfId="0" applyNumberFormat="1" applyFont="1" applyFill="1" applyProtection="1">
      <protection hidden="1"/>
    </xf>
    <xf numFmtId="0" fontId="0" fillId="9" borderId="9" xfId="0" applyFill="1" applyBorder="1" applyAlignment="1" applyProtection="1">
      <alignment horizontal="center"/>
      <protection hidden="1"/>
    </xf>
    <xf numFmtId="178" fontId="0" fillId="9" borderId="9" xfId="0" applyNumberFormat="1" applyFill="1" applyBorder="1" applyAlignment="1" applyProtection="1">
      <alignment horizontal="center"/>
      <protection hidden="1"/>
    </xf>
    <xf numFmtId="178" fontId="0" fillId="9" borderId="0" xfId="0" applyNumberFormat="1" applyFill="1" applyAlignment="1" applyProtection="1">
      <alignment horizontal="center"/>
      <protection hidden="1"/>
    </xf>
    <xf numFmtId="0" fontId="23" fillId="9" borderId="58" xfId="0" applyFont="1" applyFill="1" applyBorder="1" applyAlignment="1" applyProtection="1">
      <alignment horizontal="center"/>
      <protection hidden="1"/>
    </xf>
    <xf numFmtId="0" fontId="23" fillId="9" borderId="0" xfId="0" applyFont="1" applyFill="1" applyProtection="1">
      <protection hidden="1"/>
    </xf>
    <xf numFmtId="175" fontId="0" fillId="3" borderId="9" xfId="0" applyNumberFormat="1" applyFill="1" applyBorder="1" applyAlignment="1" applyProtection="1">
      <alignment horizontal="center"/>
      <protection hidden="1"/>
    </xf>
    <xf numFmtId="0" fontId="0" fillId="11" borderId="9" xfId="0" applyFill="1" applyBorder="1" applyAlignment="1" applyProtection="1">
      <alignment horizontal="center"/>
      <protection locked="0"/>
    </xf>
    <xf numFmtId="170" fontId="31" fillId="11" borderId="9" xfId="0" applyNumberFormat="1" applyFont="1" applyFill="1" applyBorder="1" applyAlignment="1" applyProtection="1">
      <alignment horizontal="center"/>
      <protection locked="0"/>
    </xf>
    <xf numFmtId="171" fontId="31" fillId="11" borderId="9" xfId="0" applyNumberFormat="1" applyFont="1" applyFill="1" applyBorder="1" applyAlignment="1" applyProtection="1">
      <alignment horizontal="center"/>
      <protection locked="0"/>
    </xf>
    <xf numFmtId="168" fontId="24" fillId="21" borderId="9" xfId="0" applyNumberFormat="1" applyFont="1" applyFill="1" applyBorder="1" applyAlignment="1" applyProtection="1">
      <alignment horizontal="center"/>
      <protection hidden="1"/>
    </xf>
    <xf numFmtId="171" fontId="23" fillId="9" borderId="0" xfId="0" applyNumberFormat="1" applyFont="1" applyFill="1" applyAlignment="1" applyProtection="1">
      <alignment horizontal="right"/>
      <protection hidden="1"/>
    </xf>
    <xf numFmtId="174" fontId="23" fillId="9" borderId="0" xfId="0" applyNumberFormat="1" applyFont="1" applyFill="1" applyAlignment="1" applyProtection="1">
      <alignment horizontal="right"/>
      <protection hidden="1"/>
    </xf>
    <xf numFmtId="177" fontId="23" fillId="9" borderId="0" xfId="0" applyNumberFormat="1" applyFont="1" applyFill="1" applyAlignment="1" applyProtection="1">
      <alignment horizontal="right"/>
      <protection hidden="1"/>
    </xf>
    <xf numFmtId="0" fontId="0" fillId="9" borderId="0" xfId="0" applyFill="1" applyAlignment="1" applyProtection="1">
      <alignment horizontal="right"/>
      <protection hidden="1"/>
    </xf>
    <xf numFmtId="169" fontId="23" fillId="9" borderId="0" xfId="0" applyNumberFormat="1" applyFont="1" applyFill="1" applyAlignment="1" applyProtection="1">
      <alignment horizontal="right"/>
      <protection hidden="1"/>
    </xf>
    <xf numFmtId="10" fontId="23" fillId="9" borderId="0" xfId="0" applyNumberFormat="1" applyFont="1" applyFill="1" applyAlignment="1" applyProtection="1">
      <alignment horizontal="right"/>
      <protection hidden="1"/>
    </xf>
    <xf numFmtId="170" fontId="9" fillId="11" borderId="8" xfId="3" applyNumberFormat="1" applyFont="1" applyFill="1" applyBorder="1" applyAlignment="1" applyProtection="1">
      <alignment horizontal="center" vertical="center"/>
      <protection locked="0"/>
    </xf>
    <xf numFmtId="170" fontId="31" fillId="3" borderId="9" xfId="0" applyNumberFormat="1" applyFont="1" applyFill="1" applyBorder="1" applyAlignment="1" applyProtection="1">
      <alignment horizontal="center"/>
      <protection hidden="1"/>
    </xf>
    <xf numFmtId="0" fontId="23" fillId="9" borderId="0" xfId="0" applyFont="1" applyFill="1" applyAlignment="1" applyProtection="1">
      <alignment horizontal="left"/>
      <protection hidden="1"/>
    </xf>
    <xf numFmtId="0" fontId="23" fillId="9" borderId="25" xfId="0" applyFont="1" applyFill="1" applyBorder="1" applyAlignment="1" applyProtection="1">
      <alignment horizontal="left"/>
      <protection hidden="1"/>
    </xf>
    <xf numFmtId="0" fontId="0" fillId="9" borderId="0" xfId="0" applyFill="1" applyAlignment="1" applyProtection="1">
      <alignment horizontal="left"/>
      <protection hidden="1"/>
    </xf>
    <xf numFmtId="171" fontId="23" fillId="9" borderId="0" xfId="0" applyNumberFormat="1" applyFont="1" applyFill="1" applyAlignment="1" applyProtection="1">
      <alignment horizontal="left"/>
      <protection hidden="1"/>
    </xf>
    <xf numFmtId="174" fontId="23" fillId="9" borderId="0" xfId="0" applyNumberFormat="1" applyFont="1" applyFill="1" applyAlignment="1" applyProtection="1">
      <alignment horizontal="left"/>
      <protection hidden="1"/>
    </xf>
    <xf numFmtId="177" fontId="23" fillId="9" borderId="0" xfId="0" applyNumberFormat="1" applyFont="1" applyFill="1" applyAlignment="1" applyProtection="1">
      <alignment horizontal="left"/>
      <protection hidden="1"/>
    </xf>
    <xf numFmtId="176" fontId="23" fillId="9" borderId="0" xfId="0" applyNumberFormat="1" applyFont="1" applyFill="1" applyAlignment="1" applyProtection="1">
      <alignment horizontal="left"/>
      <protection hidden="1"/>
    </xf>
    <xf numFmtId="0" fontId="25" fillId="0" borderId="0" xfId="1" applyAlignment="1" applyProtection="1"/>
    <xf numFmtId="0" fontId="24" fillId="9" borderId="0" xfId="0" applyFont="1" applyFill="1" applyProtection="1">
      <protection hidden="1"/>
    </xf>
    <xf numFmtId="0" fontId="23" fillId="12" borderId="19" xfId="0" applyFont="1" applyFill="1" applyBorder="1" applyAlignment="1" applyProtection="1">
      <alignment vertical="center"/>
      <protection hidden="1"/>
    </xf>
    <xf numFmtId="0" fontId="3" fillId="7" borderId="2" xfId="3" applyFont="1" applyFill="1" applyBorder="1" applyAlignment="1" applyProtection="1">
      <alignment vertical="center"/>
      <protection hidden="1"/>
    </xf>
    <xf numFmtId="0" fontId="3" fillId="7" borderId="3" xfId="3" applyFont="1" applyFill="1" applyBorder="1" applyAlignment="1" applyProtection="1">
      <alignment horizontal="center"/>
      <protection hidden="1"/>
    </xf>
    <xf numFmtId="0" fontId="3" fillId="7" borderId="10" xfId="3" applyFont="1" applyFill="1" applyBorder="1" applyAlignment="1" applyProtection="1">
      <alignment horizontal="center"/>
      <protection hidden="1"/>
    </xf>
    <xf numFmtId="1" fontId="3" fillId="7" borderId="14" xfId="3" applyNumberFormat="1" applyFont="1" applyFill="1" applyBorder="1" applyAlignment="1" applyProtection="1">
      <alignment horizontal="left"/>
      <protection hidden="1"/>
    </xf>
    <xf numFmtId="1" fontId="3" fillId="7" borderId="3" xfId="3" applyNumberFormat="1" applyFont="1" applyFill="1" applyBorder="1" applyAlignment="1" applyProtection="1">
      <alignment horizontal="left"/>
      <protection hidden="1"/>
    </xf>
    <xf numFmtId="1" fontId="3" fillId="7" borderId="4" xfId="3" applyNumberFormat="1" applyFont="1" applyFill="1" applyBorder="1" applyAlignment="1" applyProtection="1">
      <alignment horizontal="left"/>
      <protection hidden="1"/>
    </xf>
    <xf numFmtId="2" fontId="3" fillId="7" borderId="13" xfId="3" quotePrefix="1" applyNumberFormat="1" applyFont="1" applyFill="1" applyBorder="1" applyAlignment="1" applyProtection="1">
      <alignment horizontal="center"/>
      <protection hidden="1"/>
    </xf>
    <xf numFmtId="2" fontId="3" fillId="7" borderId="15" xfId="3" quotePrefix="1" applyNumberFormat="1" applyFont="1" applyFill="1" applyBorder="1" applyAlignment="1" applyProtection="1">
      <alignment horizontal="center"/>
      <protection hidden="1"/>
    </xf>
    <xf numFmtId="2" fontId="3" fillId="7" borderId="10" xfId="3" quotePrefix="1" applyNumberFormat="1" applyFont="1" applyFill="1" applyBorder="1" applyAlignment="1" applyProtection="1">
      <alignment horizontal="center"/>
      <protection hidden="1"/>
    </xf>
    <xf numFmtId="2" fontId="3" fillId="7" borderId="12" xfId="3" quotePrefix="1" applyNumberFormat="1" applyFont="1" applyFill="1" applyBorder="1" applyAlignment="1" applyProtection="1">
      <alignment horizontal="center"/>
      <protection hidden="1"/>
    </xf>
    <xf numFmtId="0" fontId="37" fillId="15" borderId="9" xfId="0" applyFont="1" applyFill="1" applyBorder="1" applyAlignment="1" applyProtection="1">
      <alignment horizontal="center"/>
      <protection hidden="1"/>
    </xf>
    <xf numFmtId="0" fontId="3" fillId="7" borderId="9" xfId="3" applyFont="1" applyFill="1" applyBorder="1" applyAlignment="1" applyProtection="1">
      <alignment horizontal="center"/>
      <protection hidden="1"/>
    </xf>
    <xf numFmtId="2" fontId="3" fillId="11" borderId="57" xfId="3" quotePrefix="1" applyNumberFormat="1" applyFont="1" applyFill="1" applyBorder="1" applyAlignment="1" applyProtection="1">
      <alignment horizontal="left"/>
      <protection locked="0"/>
    </xf>
    <xf numFmtId="2" fontId="3" fillId="11" borderId="53" xfId="3" quotePrefix="1" applyNumberFormat="1" applyFont="1" applyFill="1" applyBorder="1" applyAlignment="1" applyProtection="1">
      <alignment horizontal="left"/>
      <protection locked="0"/>
    </xf>
    <xf numFmtId="1" fontId="9" fillId="2" borderId="1" xfId="3" applyNumberFormat="1" applyFont="1" applyFill="1" applyBorder="1" applyAlignment="1" applyProtection="1">
      <alignment horizontal="center"/>
      <protection hidden="1"/>
    </xf>
    <xf numFmtId="2" fontId="9" fillId="2" borderId="6" xfId="3" applyNumberFormat="1" applyFont="1" applyFill="1" applyBorder="1" applyAlignment="1" applyProtection="1">
      <alignment horizontal="center"/>
      <protection hidden="1"/>
    </xf>
    <xf numFmtId="2" fontId="9" fillId="2" borderId="5" xfId="3" applyNumberFormat="1" applyFont="1" applyFill="1" applyBorder="1" applyAlignment="1" applyProtection="1">
      <alignment horizontal="center"/>
      <protection hidden="1"/>
    </xf>
    <xf numFmtId="2" fontId="9" fillId="2" borderId="26" xfId="3" applyNumberFormat="1" applyFont="1" applyFill="1" applyBorder="1" applyAlignment="1" applyProtection="1">
      <alignment horizontal="center"/>
      <protection hidden="1"/>
    </xf>
    <xf numFmtId="0" fontId="0" fillId="0" borderId="16" xfId="0" applyBorder="1" applyAlignment="1">
      <alignment horizontal="center"/>
    </xf>
    <xf numFmtId="1" fontId="35" fillId="11" borderId="26" xfId="0" applyNumberFormat="1" applyFont="1" applyFill="1" applyBorder="1" applyAlignment="1" applyProtection="1">
      <alignment horizontal="center"/>
      <protection locked="0"/>
    </xf>
    <xf numFmtId="0" fontId="3" fillId="7" borderId="0" xfId="3" applyFont="1" applyFill="1" applyAlignment="1" applyProtection="1">
      <alignment horizontal="center"/>
      <protection hidden="1"/>
    </xf>
    <xf numFmtId="2" fontId="3" fillId="7" borderId="14" xfId="3" quotePrefix="1" applyNumberFormat="1" applyFont="1" applyFill="1" applyBorder="1" applyAlignment="1" applyProtection="1">
      <alignment horizontal="center"/>
      <protection hidden="1"/>
    </xf>
    <xf numFmtId="2" fontId="3" fillId="7" borderId="3" xfId="3" quotePrefix="1" applyNumberFormat="1" applyFont="1" applyFill="1" applyBorder="1" applyAlignment="1" applyProtection="1">
      <alignment horizontal="center"/>
      <protection hidden="1"/>
    </xf>
    <xf numFmtId="2" fontId="3" fillId="7" borderId="4" xfId="3" quotePrefix="1" applyNumberFormat="1" applyFont="1" applyFill="1" applyBorder="1" applyAlignment="1" applyProtection="1">
      <alignment horizontal="center"/>
      <protection hidden="1"/>
    </xf>
    <xf numFmtId="1" fontId="3" fillId="7" borderId="37" xfId="3" applyNumberFormat="1" applyFont="1" applyFill="1" applyBorder="1" applyAlignment="1" applyProtection="1">
      <alignment horizontal="center"/>
      <protection hidden="1"/>
    </xf>
    <xf numFmtId="1" fontId="3" fillId="7" borderId="24" xfId="3" applyNumberFormat="1" applyFont="1" applyFill="1" applyBorder="1" applyAlignment="1" applyProtection="1">
      <alignment horizontal="center"/>
      <protection hidden="1"/>
    </xf>
    <xf numFmtId="1" fontId="3" fillId="7" borderId="49" xfId="3" applyNumberFormat="1" applyFont="1" applyFill="1" applyBorder="1" applyAlignment="1" applyProtection="1">
      <alignment horizontal="center"/>
      <protection hidden="1"/>
    </xf>
    <xf numFmtId="2" fontId="3" fillId="7" borderId="34" xfId="3" applyNumberFormat="1" applyFont="1" applyFill="1" applyBorder="1" applyAlignment="1" applyProtection="1">
      <alignment horizontal="center"/>
      <protection hidden="1"/>
    </xf>
    <xf numFmtId="2" fontId="3" fillId="7" borderId="1" xfId="3" applyNumberFormat="1" applyFont="1" applyFill="1" applyBorder="1" applyAlignment="1" applyProtection="1">
      <alignment horizontal="center"/>
      <protection hidden="1"/>
    </xf>
    <xf numFmtId="2" fontId="3" fillId="7" borderId="6" xfId="3" applyNumberFormat="1" applyFont="1" applyFill="1" applyBorder="1" applyAlignment="1" applyProtection="1">
      <alignment horizontal="center"/>
      <protection hidden="1"/>
    </xf>
    <xf numFmtId="2" fontId="3" fillId="7" borderId="5" xfId="3" applyNumberFormat="1" applyFont="1" applyFill="1" applyBorder="1" applyAlignment="1" applyProtection="1">
      <alignment horizontal="center"/>
      <protection hidden="1"/>
    </xf>
    <xf numFmtId="4" fontId="3" fillId="7" borderId="34" xfId="3" applyNumberFormat="1" applyFont="1" applyFill="1" applyBorder="1" applyAlignment="1" applyProtection="1">
      <alignment horizontal="center"/>
      <protection hidden="1"/>
    </xf>
    <xf numFmtId="0" fontId="3" fillId="2" borderId="39" xfId="3" applyFont="1" applyFill="1" applyBorder="1" applyAlignment="1" applyProtection="1">
      <alignment horizontal="center"/>
      <protection hidden="1"/>
    </xf>
    <xf numFmtId="0" fontId="3" fillId="2" borderId="59" xfId="3" applyFont="1" applyFill="1" applyBorder="1" applyAlignment="1" applyProtection="1">
      <alignment horizontal="center"/>
      <protection hidden="1"/>
    </xf>
    <xf numFmtId="2" fontId="3" fillId="2" borderId="59" xfId="3" applyNumberFormat="1" applyFont="1" applyFill="1" applyBorder="1" applyAlignment="1" applyProtection="1">
      <alignment horizontal="center"/>
      <protection hidden="1"/>
    </xf>
    <xf numFmtId="1" fontId="36" fillId="20" borderId="5" xfId="3" applyNumberFormat="1" applyFont="1" applyFill="1" applyBorder="1" applyAlignment="1" applyProtection="1">
      <alignment horizontal="center"/>
      <protection hidden="1"/>
    </xf>
    <xf numFmtId="169" fontId="36" fillId="21" borderId="26" xfId="3" applyNumberFormat="1" applyFont="1" applyFill="1" applyBorder="1" applyAlignment="1" applyProtection="1">
      <alignment horizontal="center" vertical="center"/>
      <protection hidden="1"/>
    </xf>
    <xf numFmtId="180" fontId="36" fillId="20" borderId="26" xfId="3" applyNumberFormat="1" applyFont="1" applyFill="1" applyBorder="1" applyAlignment="1" applyProtection="1">
      <alignment horizontal="center" vertical="center"/>
      <protection hidden="1"/>
    </xf>
    <xf numFmtId="168" fontId="37" fillId="2" borderId="10" xfId="0" applyNumberFormat="1" applyFont="1" applyFill="1" applyBorder="1" applyAlignment="1" applyProtection="1">
      <alignment horizontal="center"/>
      <protection hidden="1"/>
    </xf>
    <xf numFmtId="168" fontId="37" fillId="2" borderId="12" xfId="0" applyNumberFormat="1" applyFont="1" applyFill="1" applyBorder="1" applyAlignment="1" applyProtection="1">
      <alignment horizontal="center"/>
      <protection hidden="1"/>
    </xf>
    <xf numFmtId="2" fontId="33" fillId="24" borderId="2" xfId="4" applyNumberFormat="1" applyFont="1" applyFill="1" applyBorder="1" applyProtection="1">
      <protection hidden="1"/>
    </xf>
    <xf numFmtId="2" fontId="33" fillId="24" borderId="3" xfId="4" applyNumberFormat="1" applyFont="1" applyFill="1" applyBorder="1" applyProtection="1">
      <protection hidden="1"/>
    </xf>
    <xf numFmtId="2" fontId="33" fillId="24" borderId="4" xfId="4" applyNumberFormat="1" applyFont="1" applyFill="1" applyBorder="1" applyProtection="1">
      <protection hidden="1"/>
    </xf>
    <xf numFmtId="1" fontId="48" fillId="25" borderId="9" xfId="4" applyNumberFormat="1" applyFont="1" applyFill="1" applyBorder="1" applyAlignment="1" applyProtection="1">
      <alignment horizontal="center"/>
      <protection locked="0" hidden="1"/>
    </xf>
    <xf numFmtId="0" fontId="44" fillId="7" borderId="7" xfId="0" applyFont="1" applyFill="1" applyBorder="1" applyAlignment="1" applyProtection="1">
      <alignment horizontal="center"/>
      <protection hidden="1"/>
    </xf>
    <xf numFmtId="2" fontId="44" fillId="7" borderId="9" xfId="0" applyNumberFormat="1" applyFont="1" applyFill="1" applyBorder="1" applyAlignment="1" applyProtection="1">
      <alignment horizontal="center"/>
      <protection hidden="1"/>
    </xf>
    <xf numFmtId="2" fontId="44" fillId="7" borderId="11" xfId="0" applyNumberFormat="1" applyFont="1" applyFill="1" applyBorder="1" applyAlignment="1" applyProtection="1">
      <alignment horizontal="center"/>
      <protection hidden="1"/>
    </xf>
    <xf numFmtId="168" fontId="50" fillId="2" borderId="8" xfId="0" applyNumberFormat="1" applyFont="1" applyFill="1" applyBorder="1" applyAlignment="1" applyProtection="1">
      <alignment horizontal="center"/>
      <protection hidden="1"/>
    </xf>
    <xf numFmtId="180" fontId="50" fillId="2" borderId="8" xfId="0" applyNumberFormat="1" applyFont="1" applyFill="1" applyBorder="1" applyAlignment="1" applyProtection="1">
      <alignment horizontal="center"/>
      <protection hidden="1"/>
    </xf>
    <xf numFmtId="1" fontId="21" fillId="25" borderId="8" xfId="4" applyNumberFormat="1" applyFont="1" applyFill="1" applyBorder="1" applyAlignment="1" applyProtection="1">
      <alignment horizontal="center"/>
      <protection locked="0" hidden="1"/>
    </xf>
    <xf numFmtId="0" fontId="33" fillId="13" borderId="3" xfId="3" applyFont="1" applyFill="1" applyBorder="1" applyAlignment="1" applyProtection="1">
      <alignment horizontal="left" vertical="center"/>
      <protection hidden="1"/>
    </xf>
    <xf numFmtId="0" fontId="33" fillId="13" borderId="9" xfId="3" applyFont="1" applyFill="1" applyBorder="1" applyAlignment="1" applyProtection="1">
      <alignment horizontal="left" vertical="center"/>
      <protection hidden="1"/>
    </xf>
    <xf numFmtId="2" fontId="9" fillId="17" borderId="28" xfId="4" applyNumberFormat="1" applyFont="1" applyFill="1" applyBorder="1" applyProtection="1">
      <protection hidden="1"/>
    </xf>
    <xf numFmtId="0" fontId="0" fillId="9" borderId="29" xfId="0" applyFill="1" applyBorder="1" applyProtection="1">
      <protection hidden="1"/>
    </xf>
    <xf numFmtId="2" fontId="9" fillId="17" borderId="60" xfId="4" applyNumberFormat="1" applyFont="1" applyFill="1" applyBorder="1" applyProtection="1">
      <protection hidden="1"/>
    </xf>
    <xf numFmtId="0" fontId="0" fillId="9" borderId="30" xfId="0" applyFill="1" applyBorder="1" applyProtection="1">
      <protection hidden="1"/>
    </xf>
    <xf numFmtId="0" fontId="38" fillId="23" borderId="52" xfId="4" applyFont="1" applyFill="1" applyBorder="1" applyProtection="1">
      <protection hidden="1"/>
    </xf>
    <xf numFmtId="1" fontId="38" fillId="21" borderId="9" xfId="4" applyNumberFormat="1" applyFont="1" applyFill="1" applyBorder="1" applyAlignment="1" applyProtection="1">
      <alignment horizontal="center"/>
      <protection hidden="1"/>
    </xf>
    <xf numFmtId="4" fontId="44" fillId="7" borderId="9" xfId="0" applyNumberFormat="1" applyFont="1" applyFill="1" applyBorder="1" applyAlignment="1" applyProtection="1">
      <alignment horizontal="center"/>
      <protection hidden="1"/>
    </xf>
    <xf numFmtId="2" fontId="44" fillId="7" borderId="7" xfId="0" applyNumberFormat="1" applyFont="1" applyFill="1" applyBorder="1" applyAlignment="1" applyProtection="1">
      <alignment horizontal="center"/>
      <protection hidden="1"/>
    </xf>
    <xf numFmtId="0" fontId="41" fillId="9" borderId="0" xfId="0" applyFont="1" applyFill="1" applyAlignment="1" applyProtection="1">
      <alignment horizontal="center"/>
      <protection hidden="1"/>
    </xf>
    <xf numFmtId="2" fontId="52" fillId="7" borderId="11" xfId="0" applyNumberFormat="1" applyFont="1" applyFill="1" applyBorder="1" applyAlignment="1" applyProtection="1">
      <alignment horizontal="center"/>
      <protection hidden="1"/>
    </xf>
    <xf numFmtId="1" fontId="48" fillId="25" borderId="9" xfId="4" applyNumberFormat="1" applyFont="1" applyFill="1" applyBorder="1" applyAlignment="1" applyProtection="1">
      <alignment horizontal="center"/>
      <protection locked="0"/>
    </xf>
    <xf numFmtId="1" fontId="9" fillId="11" borderId="21" xfId="3" applyNumberFormat="1" applyFont="1" applyFill="1" applyBorder="1" applyProtection="1">
      <protection locked="0" hidden="1"/>
    </xf>
    <xf numFmtId="1" fontId="9" fillId="11" borderId="23" xfId="3" applyNumberFormat="1" applyFont="1" applyFill="1" applyBorder="1" applyProtection="1">
      <protection locked="0" hidden="1"/>
    </xf>
    <xf numFmtId="2" fontId="48" fillId="7" borderId="11" xfId="0" applyNumberFormat="1" applyFont="1" applyFill="1" applyBorder="1" applyAlignment="1" applyProtection="1">
      <alignment horizontal="center"/>
      <protection hidden="1"/>
    </xf>
    <xf numFmtId="1" fontId="31" fillId="3" borderId="9" xfId="0" applyNumberFormat="1" applyFont="1" applyFill="1" applyBorder="1" applyAlignment="1" applyProtection="1">
      <alignment horizontal="center"/>
      <protection hidden="1"/>
    </xf>
    <xf numFmtId="0" fontId="31" fillId="11" borderId="36" xfId="0" applyFont="1" applyFill="1" applyBorder="1" applyProtection="1">
      <protection hidden="1"/>
    </xf>
    <xf numFmtId="0" fontId="31" fillId="11" borderId="9" xfId="0" applyFont="1" applyFill="1" applyBorder="1" applyProtection="1">
      <protection locked="0" hidden="1"/>
    </xf>
    <xf numFmtId="166" fontId="31" fillId="11" borderId="9" xfId="0" applyNumberFormat="1" applyFont="1" applyFill="1" applyBorder="1" applyAlignment="1" applyProtection="1">
      <alignment horizontal="left"/>
      <protection locked="0" hidden="1"/>
    </xf>
    <xf numFmtId="0" fontId="31" fillId="11" borderId="9" xfId="0" applyFont="1" applyFill="1" applyBorder="1" applyAlignment="1" applyProtection="1">
      <alignment horizontal="left"/>
      <protection locked="0" hidden="1"/>
    </xf>
    <xf numFmtId="167" fontId="31" fillId="11" borderId="9" xfId="0" applyNumberFormat="1" applyFont="1" applyFill="1" applyBorder="1" applyAlignment="1" applyProtection="1">
      <alignment horizontal="left"/>
      <protection locked="0" hidden="1"/>
    </xf>
    <xf numFmtId="167" fontId="31" fillId="11" borderId="0" xfId="0" applyNumberFormat="1" applyFont="1" applyFill="1" applyAlignment="1" applyProtection="1">
      <alignment horizontal="left"/>
      <protection locked="0" hidden="1"/>
    </xf>
    <xf numFmtId="0" fontId="0" fillId="11" borderId="9" xfId="0" applyFill="1" applyBorder="1" applyProtection="1">
      <protection locked="0" hidden="1"/>
    </xf>
    <xf numFmtId="0" fontId="31" fillId="11" borderId="2" xfId="0" applyFont="1" applyFill="1" applyBorder="1" applyProtection="1">
      <protection locked="0" hidden="1"/>
    </xf>
    <xf numFmtId="0" fontId="31" fillId="11" borderId="14" xfId="0" applyFont="1" applyFill="1" applyBorder="1" applyProtection="1">
      <protection locked="0" hidden="1"/>
    </xf>
    <xf numFmtId="0" fontId="31" fillId="11" borderId="36" xfId="0" applyFont="1" applyFill="1" applyBorder="1" applyProtection="1">
      <protection locked="0" hidden="1"/>
    </xf>
    <xf numFmtId="171" fontId="3" fillId="11" borderId="10" xfId="3" applyNumberFormat="1" applyFont="1" applyFill="1" applyBorder="1" applyAlignment="1" applyProtection="1">
      <alignment horizontal="center" vertical="center"/>
      <protection locked="0"/>
    </xf>
    <xf numFmtId="171" fontId="3" fillId="11" borderId="56" xfId="3" applyNumberFormat="1" applyFont="1" applyFill="1" applyBorder="1" applyAlignment="1" applyProtection="1">
      <alignment horizontal="center" vertical="center"/>
      <protection locked="0"/>
    </xf>
    <xf numFmtId="2" fontId="3" fillId="11" borderId="36" xfId="3" applyNumberFormat="1" applyFont="1" applyFill="1" applyBorder="1" applyAlignment="1" applyProtection="1">
      <alignment horizontal="center"/>
      <protection locked="0"/>
    </xf>
    <xf numFmtId="1" fontId="3" fillId="11" borderId="4" xfId="3" quotePrefix="1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2" fontId="49" fillId="9" borderId="0" xfId="0" applyNumberFormat="1" applyFont="1" applyFill="1" applyAlignment="1" applyProtection="1">
      <alignment horizontal="left"/>
      <protection hidden="1"/>
    </xf>
    <xf numFmtId="0" fontId="49" fillId="9" borderId="0" xfId="0" applyFont="1" applyFill="1" applyAlignment="1" applyProtection="1">
      <alignment horizontal="left"/>
      <protection hidden="1"/>
    </xf>
    <xf numFmtId="0" fontId="49" fillId="9" borderId="0" xfId="0" applyFont="1" applyFill="1" applyProtection="1">
      <protection hidden="1"/>
    </xf>
    <xf numFmtId="0" fontId="53" fillId="0" borderId="0" xfId="0" applyFont="1" applyProtection="1">
      <protection locked="0" hidden="1"/>
    </xf>
    <xf numFmtId="0" fontId="53" fillId="0" borderId="0" xfId="0" applyFont="1" applyAlignment="1" applyProtection="1">
      <alignment horizontal="center"/>
      <protection locked="0" hidden="1"/>
    </xf>
    <xf numFmtId="0" fontId="53" fillId="0" borderId="9" xfId="0" applyFont="1" applyBorder="1" applyProtection="1">
      <protection locked="0" hidden="1"/>
    </xf>
    <xf numFmtId="0" fontId="53" fillId="0" borderId="9" xfId="0" applyFont="1" applyBorder="1" applyAlignment="1" applyProtection="1">
      <alignment horizontal="center"/>
      <protection locked="0" hidden="1"/>
    </xf>
    <xf numFmtId="2" fontId="53" fillId="0" borderId="9" xfId="0" applyNumberFormat="1" applyFont="1" applyBorder="1" applyAlignment="1" applyProtection="1">
      <alignment horizontal="center"/>
      <protection locked="0" hidden="1"/>
    </xf>
    <xf numFmtId="1" fontId="53" fillId="0" borderId="9" xfId="0" applyNumberFormat="1" applyFont="1" applyBorder="1" applyAlignment="1" applyProtection="1">
      <alignment horizontal="center"/>
      <protection locked="0" hidden="1"/>
    </xf>
    <xf numFmtId="0" fontId="54" fillId="0" borderId="58" xfId="0" applyFont="1" applyBorder="1" applyProtection="1">
      <protection locked="0" hidden="1"/>
    </xf>
    <xf numFmtId="0" fontId="53" fillId="0" borderId="46" xfId="0" applyFont="1" applyBorder="1" applyProtection="1">
      <protection locked="0" hidden="1"/>
    </xf>
    <xf numFmtId="2" fontId="54" fillId="0" borderId="9" xfId="0" applyNumberFormat="1" applyFont="1" applyBorder="1" applyAlignment="1" applyProtection="1">
      <alignment horizontal="center"/>
      <protection locked="0" hidden="1"/>
    </xf>
    <xf numFmtId="1" fontId="54" fillId="0" borderId="9" xfId="0" applyNumberFormat="1" applyFont="1" applyBorder="1" applyAlignment="1" applyProtection="1">
      <alignment horizontal="center"/>
      <protection locked="0" hidden="1"/>
    </xf>
    <xf numFmtId="169" fontId="2" fillId="0" borderId="0" xfId="3" applyNumberFormat="1" applyFont="1" applyAlignment="1" applyProtection="1">
      <alignment horizontal="left" vertical="center"/>
      <protection locked="0" hidden="1"/>
    </xf>
    <xf numFmtId="170" fontId="2" fillId="0" borderId="0" xfId="3" applyNumberFormat="1" applyFont="1" applyAlignment="1" applyProtection="1">
      <alignment horizontal="left" vertical="center"/>
      <protection locked="0" hidden="1"/>
    </xf>
    <xf numFmtId="0" fontId="54" fillId="0" borderId="0" xfId="0" applyFont="1" applyProtection="1">
      <protection locked="0" hidden="1"/>
    </xf>
    <xf numFmtId="169" fontId="1" fillId="0" borderId="0" xfId="3" applyNumberFormat="1" applyFont="1" applyAlignment="1" applyProtection="1">
      <alignment horizontal="left" vertical="center"/>
      <protection locked="0" hidden="1"/>
    </xf>
    <xf numFmtId="168" fontId="1" fillId="0" borderId="0" xfId="3" applyNumberFormat="1" applyFont="1" applyAlignment="1" applyProtection="1">
      <alignment horizontal="left" vertical="center"/>
      <protection locked="0" hidden="1"/>
    </xf>
    <xf numFmtId="0" fontId="53" fillId="0" borderId="0" xfId="0" applyFont="1" applyAlignment="1" applyProtection="1">
      <alignment horizontal="left"/>
      <protection locked="0" hidden="1"/>
    </xf>
    <xf numFmtId="181" fontId="53" fillId="0" borderId="0" xfId="0" applyNumberFormat="1" applyFont="1" applyAlignment="1" applyProtection="1">
      <alignment horizontal="left"/>
      <protection locked="0" hidden="1"/>
    </xf>
    <xf numFmtId="0" fontId="0" fillId="11" borderId="0" xfId="0" applyFill="1" applyAlignment="1" applyProtection="1">
      <alignment vertical="top" wrapText="1"/>
      <protection hidden="1"/>
    </xf>
    <xf numFmtId="0" fontId="0" fillId="11" borderId="45" xfId="0" applyFill="1" applyBorder="1" applyAlignment="1" applyProtection="1">
      <alignment vertical="top" wrapText="1"/>
      <protection hidden="1"/>
    </xf>
    <xf numFmtId="0" fontId="26" fillId="11" borderId="61" xfId="0" applyFont="1" applyFill="1" applyBorder="1" applyProtection="1">
      <protection hidden="1"/>
    </xf>
    <xf numFmtId="0" fontId="0" fillId="11" borderId="62" xfId="0" applyFill="1" applyBorder="1" applyProtection="1">
      <protection hidden="1"/>
    </xf>
    <xf numFmtId="0" fontId="0" fillId="11" borderId="63" xfId="0" applyFill="1" applyBorder="1" applyProtection="1">
      <protection hidden="1"/>
    </xf>
    <xf numFmtId="0" fontId="0" fillId="11" borderId="25" xfId="0" applyFill="1" applyBorder="1" applyProtection="1">
      <protection hidden="1"/>
    </xf>
    <xf numFmtId="0" fontId="0" fillId="11" borderId="58" xfId="0" applyFill="1" applyBorder="1" applyProtection="1">
      <protection hidden="1"/>
    </xf>
    <xf numFmtId="0" fontId="0" fillId="11" borderId="46" xfId="0" applyFill="1" applyBorder="1" applyProtection="1">
      <protection hidden="1"/>
    </xf>
    <xf numFmtId="0" fontId="0" fillId="11" borderId="19" xfId="0" applyFill="1" applyBorder="1" applyAlignment="1" applyProtection="1">
      <alignment vertical="top" wrapText="1"/>
      <protection hidden="1"/>
    </xf>
    <xf numFmtId="0" fontId="32" fillId="12" borderId="0" xfId="0" applyFont="1" applyFill="1" applyProtection="1">
      <protection hidden="1"/>
    </xf>
    <xf numFmtId="0" fontId="55" fillId="12" borderId="0" xfId="0" applyFont="1" applyFill="1" applyProtection="1">
      <protection hidden="1"/>
    </xf>
    <xf numFmtId="0" fontId="0" fillId="12" borderId="0" xfId="0" applyFill="1" applyProtection="1">
      <protection hidden="1"/>
    </xf>
    <xf numFmtId="0" fontId="57" fillId="0" borderId="25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0" fillId="11" borderId="61" xfId="0" applyFill="1" applyBorder="1" applyAlignment="1" applyProtection="1">
      <alignment horizontal="center" vertical="top" wrapText="1"/>
      <protection hidden="1"/>
    </xf>
    <xf numFmtId="0" fontId="0" fillId="11" borderId="62" xfId="0" applyFill="1" applyBorder="1" applyAlignment="1" applyProtection="1">
      <alignment horizontal="center" vertical="top" wrapText="1"/>
      <protection hidden="1"/>
    </xf>
    <xf numFmtId="0" fontId="0" fillId="11" borderId="63" xfId="0" applyFill="1" applyBorder="1" applyAlignment="1" applyProtection="1">
      <alignment horizontal="center" vertical="top" wrapText="1"/>
      <protection hidden="1"/>
    </xf>
    <xf numFmtId="0" fontId="0" fillId="11" borderId="19" xfId="0" applyFill="1" applyBorder="1" applyAlignment="1" applyProtection="1">
      <alignment horizontal="center" vertical="top" wrapText="1"/>
      <protection hidden="1"/>
    </xf>
    <xf numFmtId="0" fontId="0" fillId="11" borderId="0" xfId="0" applyFill="1" applyAlignment="1" applyProtection="1">
      <alignment horizontal="center" vertical="top" wrapText="1"/>
      <protection hidden="1"/>
    </xf>
    <xf numFmtId="0" fontId="0" fillId="11" borderId="45" xfId="0" applyFill="1" applyBorder="1" applyAlignment="1" applyProtection="1">
      <alignment horizontal="center" vertical="top" wrapText="1"/>
      <protection hidden="1"/>
    </xf>
    <xf numFmtId="0" fontId="56" fillId="11" borderId="61" xfId="0" applyFont="1" applyFill="1" applyBorder="1" applyAlignment="1" applyProtection="1">
      <alignment horizontal="center" vertical="center"/>
      <protection hidden="1"/>
    </xf>
    <xf numFmtId="0" fontId="56" fillId="11" borderId="62" xfId="0" applyFont="1" applyFill="1" applyBorder="1" applyAlignment="1" applyProtection="1">
      <alignment horizontal="center" vertical="center"/>
      <protection hidden="1"/>
    </xf>
    <xf numFmtId="0" fontId="56" fillId="11" borderId="63" xfId="0" applyFont="1" applyFill="1" applyBorder="1" applyAlignment="1" applyProtection="1">
      <alignment horizontal="center" vertical="center"/>
      <protection hidden="1"/>
    </xf>
    <xf numFmtId="0" fontId="39" fillId="11" borderId="27" xfId="0" applyFont="1" applyFill="1" applyBorder="1" applyAlignment="1" applyProtection="1">
      <alignment horizontal="center"/>
      <protection locked="0"/>
    </xf>
    <xf numFmtId="0" fontId="39" fillId="11" borderId="39" xfId="0" applyFont="1" applyFill="1" applyBorder="1" applyAlignment="1" applyProtection="1">
      <alignment horizontal="center"/>
      <protection locked="0"/>
    </xf>
    <xf numFmtId="0" fontId="39" fillId="11" borderId="51" xfId="0" applyFont="1" applyFill="1" applyBorder="1" applyAlignment="1" applyProtection="1">
      <alignment horizontal="center"/>
      <protection locked="0"/>
    </xf>
    <xf numFmtId="0" fontId="39" fillId="11" borderId="28" xfId="0" applyFont="1" applyFill="1" applyBorder="1" applyAlignment="1" applyProtection="1">
      <alignment horizontal="center"/>
      <protection locked="0"/>
    </xf>
    <xf numFmtId="0" fontId="39" fillId="11" borderId="29" xfId="0" applyFont="1" applyFill="1" applyBorder="1" applyAlignment="1" applyProtection="1">
      <alignment horizontal="center"/>
      <protection locked="0"/>
    </xf>
    <xf numFmtId="0" fontId="39" fillId="11" borderId="30" xfId="0" applyFont="1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left" vertical="top" wrapText="1"/>
      <protection hidden="1"/>
    </xf>
    <xf numFmtId="0" fontId="0" fillId="10" borderId="34" xfId="0" applyFill="1" applyBorder="1" applyAlignment="1" applyProtection="1">
      <alignment horizontal="left" vertical="top" wrapText="1"/>
      <protection hidden="1"/>
    </xf>
    <xf numFmtId="0" fontId="23" fillId="12" borderId="58" xfId="0" applyFont="1" applyFill="1" applyBorder="1" applyAlignment="1" applyProtection="1">
      <alignment horizontal="center"/>
      <protection hidden="1"/>
    </xf>
    <xf numFmtId="0" fontId="23" fillId="13" borderId="9" xfId="0" applyFont="1" applyFill="1" applyBorder="1" applyAlignment="1" applyProtection="1">
      <alignment horizontal="right"/>
      <protection hidden="1"/>
    </xf>
    <xf numFmtId="0" fontId="23" fillId="12" borderId="16" xfId="0" applyFont="1" applyFill="1" applyBorder="1" applyAlignment="1" applyProtection="1">
      <alignment horizontal="center"/>
      <protection hidden="1"/>
    </xf>
    <xf numFmtId="0" fontId="23" fillId="12" borderId="20" xfId="0" applyFont="1" applyFill="1" applyBorder="1" applyAlignment="1" applyProtection="1">
      <alignment horizontal="center"/>
      <protection hidden="1"/>
    </xf>
    <xf numFmtId="0" fontId="23" fillId="13" borderId="9" xfId="0" applyFont="1" applyFill="1" applyBorder="1" applyProtection="1">
      <protection hidden="1"/>
    </xf>
    <xf numFmtId="0" fontId="0" fillId="3" borderId="9" xfId="0" applyFill="1" applyBorder="1" applyAlignment="1" applyProtection="1">
      <alignment horizontal="left"/>
      <protection hidden="1"/>
    </xf>
    <xf numFmtId="0" fontId="24" fillId="13" borderId="9" xfId="0" applyFont="1" applyFill="1" applyBorder="1" applyAlignment="1" applyProtection="1">
      <alignment horizontal="left"/>
      <protection hidden="1"/>
    </xf>
    <xf numFmtId="0" fontId="31" fillId="16" borderId="9" xfId="0" applyFont="1" applyFill="1" applyBorder="1" applyProtection="1">
      <protection hidden="1"/>
    </xf>
    <xf numFmtId="0" fontId="31" fillId="15" borderId="9" xfId="0" applyFont="1" applyFill="1" applyBorder="1" applyProtection="1">
      <protection hidden="1"/>
    </xf>
    <xf numFmtId="0" fontId="23" fillId="12" borderId="16" xfId="0" applyFont="1" applyFill="1" applyBorder="1" applyAlignment="1" applyProtection="1">
      <alignment horizontal="center" wrapText="1"/>
      <protection hidden="1"/>
    </xf>
    <xf numFmtId="0" fontId="23" fillId="12" borderId="20" xfId="0" applyFont="1" applyFill="1" applyBorder="1" applyAlignment="1" applyProtection="1">
      <alignment horizontal="center" wrapText="1"/>
      <protection hidden="1"/>
    </xf>
    <xf numFmtId="0" fontId="36" fillId="22" borderId="27" xfId="3" applyFont="1" applyFill="1" applyBorder="1" applyAlignment="1" applyProtection="1">
      <alignment horizontal="center" vertical="center"/>
      <protection hidden="1"/>
    </xf>
    <xf numFmtId="0" fontId="36" fillId="22" borderId="39" xfId="3" applyFont="1" applyFill="1" applyBorder="1" applyAlignment="1" applyProtection="1">
      <alignment horizontal="center" vertical="center"/>
      <protection hidden="1"/>
    </xf>
    <xf numFmtId="0" fontId="36" fillId="22" borderId="51" xfId="3" applyFont="1" applyFill="1" applyBorder="1" applyAlignment="1" applyProtection="1">
      <alignment horizontal="center" vertical="center"/>
      <protection hidden="1"/>
    </xf>
    <xf numFmtId="0" fontId="36" fillId="18" borderId="28" xfId="3" applyFont="1" applyFill="1" applyBorder="1" applyAlignment="1" applyProtection="1">
      <alignment horizontal="center"/>
      <protection hidden="1"/>
    </xf>
    <xf numFmtId="0" fontId="36" fillId="18" borderId="30" xfId="3" applyFont="1" applyFill="1" applyBorder="1" applyAlignment="1" applyProtection="1">
      <alignment horizontal="center"/>
      <protection hidden="1"/>
    </xf>
    <xf numFmtId="0" fontId="33" fillId="13" borderId="2" xfId="3" applyFont="1" applyFill="1" applyBorder="1" applyAlignment="1" applyProtection="1">
      <alignment horizontal="left" vertical="center"/>
      <protection hidden="1"/>
    </xf>
    <xf numFmtId="0" fontId="33" fillId="13" borderId="7" xfId="3" applyFont="1" applyFill="1" applyBorder="1" applyAlignment="1" applyProtection="1">
      <alignment horizontal="left" vertical="center"/>
      <protection hidden="1"/>
    </xf>
    <xf numFmtId="0" fontId="33" fillId="13" borderId="3" xfId="3" applyFont="1" applyFill="1" applyBorder="1" applyAlignment="1" applyProtection="1">
      <alignment horizontal="left" vertical="center"/>
      <protection hidden="1"/>
    </xf>
    <xf numFmtId="0" fontId="33" fillId="13" borderId="9" xfId="3" applyFont="1" applyFill="1" applyBorder="1" applyAlignment="1" applyProtection="1">
      <alignment horizontal="left" vertical="center"/>
      <protection hidden="1"/>
    </xf>
    <xf numFmtId="0" fontId="33" fillId="13" borderId="4" xfId="3" applyFont="1" applyFill="1" applyBorder="1" applyAlignment="1" applyProtection="1">
      <alignment horizontal="left" vertical="center"/>
      <protection hidden="1"/>
    </xf>
    <xf numFmtId="0" fontId="33" fillId="13" borderId="55" xfId="3" applyFont="1" applyFill="1" applyBorder="1" applyAlignment="1" applyProtection="1">
      <alignment horizontal="left" vertical="center"/>
      <protection hidden="1"/>
    </xf>
    <xf numFmtId="2" fontId="3" fillId="9" borderId="0" xfId="3" applyNumberFormat="1" applyFont="1" applyFill="1" applyAlignment="1" applyProtection="1">
      <alignment horizontal="left"/>
      <protection hidden="1"/>
    </xf>
    <xf numFmtId="1" fontId="9" fillId="11" borderId="7" xfId="3" applyNumberFormat="1" applyFont="1" applyFill="1" applyBorder="1" applyAlignment="1" applyProtection="1">
      <alignment horizontal="left"/>
      <protection locked="0"/>
    </xf>
    <xf numFmtId="1" fontId="9" fillId="11" borderId="8" xfId="3" applyNumberFormat="1" applyFont="1" applyFill="1" applyBorder="1" applyAlignment="1" applyProtection="1">
      <alignment horizontal="left"/>
      <protection locked="0"/>
    </xf>
    <xf numFmtId="0" fontId="36" fillId="18" borderId="31" xfId="3" applyFont="1" applyFill="1" applyBorder="1" applyAlignment="1" applyProtection="1">
      <alignment horizontal="center"/>
      <protection hidden="1"/>
    </xf>
    <xf numFmtId="0" fontId="36" fillId="18" borderId="32" xfId="3" applyFont="1" applyFill="1" applyBorder="1" applyAlignment="1" applyProtection="1">
      <alignment horizontal="center"/>
      <protection hidden="1"/>
    </xf>
    <xf numFmtId="1" fontId="9" fillId="11" borderId="11" xfId="3" applyNumberFormat="1" applyFont="1" applyFill="1" applyBorder="1" applyAlignment="1" applyProtection="1">
      <alignment horizontal="left"/>
      <protection locked="0"/>
    </xf>
    <xf numFmtId="1" fontId="9" fillId="11" borderId="12" xfId="3" applyNumberFormat="1" applyFont="1" applyFill="1" applyBorder="1" applyAlignment="1" applyProtection="1">
      <alignment horizontal="left"/>
      <protection locked="0"/>
    </xf>
    <xf numFmtId="1" fontId="9" fillId="11" borderId="36" xfId="3" applyNumberFormat="1" applyFont="1" applyFill="1" applyBorder="1" applyAlignment="1" applyProtection="1">
      <alignment horizontal="center" vertical="center"/>
      <protection locked="0"/>
    </xf>
    <xf numFmtId="1" fontId="9" fillId="11" borderId="38" xfId="3" applyNumberFormat="1" applyFont="1" applyFill="1" applyBorder="1" applyAlignment="1" applyProtection="1">
      <alignment horizontal="center" vertical="center"/>
      <protection locked="0"/>
    </xf>
    <xf numFmtId="0" fontId="25" fillId="12" borderId="0" xfId="1" applyFill="1" applyAlignment="1" applyProtection="1">
      <alignment horizontal="center" vertical="center"/>
      <protection locked="0" hidden="1"/>
    </xf>
    <xf numFmtId="0" fontId="26" fillId="9" borderId="16" xfId="0" applyFont="1" applyFill="1" applyBorder="1" applyAlignment="1" applyProtection="1">
      <alignment horizontal="center"/>
      <protection hidden="1"/>
    </xf>
    <xf numFmtId="0" fontId="26" fillId="9" borderId="20" xfId="0" applyFont="1" applyFill="1" applyBorder="1" applyAlignment="1" applyProtection="1">
      <alignment horizontal="center"/>
      <protection hidden="1"/>
    </xf>
    <xf numFmtId="1" fontId="9" fillId="11" borderId="36" xfId="3" applyNumberFormat="1" applyFont="1" applyFill="1" applyBorder="1" applyAlignment="1" applyProtection="1">
      <alignment horizontal="center" vertical="center"/>
      <protection locked="0" hidden="1"/>
    </xf>
    <xf numFmtId="1" fontId="9" fillId="11" borderId="38" xfId="3" applyNumberFormat="1" applyFont="1" applyFill="1" applyBorder="1" applyAlignment="1" applyProtection="1">
      <alignment horizontal="center" vertical="center"/>
      <protection locked="0" hidden="1"/>
    </xf>
    <xf numFmtId="1" fontId="9" fillId="11" borderId="7" xfId="3" applyNumberFormat="1" applyFont="1" applyFill="1" applyBorder="1" applyAlignment="1" applyProtection="1">
      <alignment horizontal="left"/>
      <protection locked="0" hidden="1"/>
    </xf>
    <xf numFmtId="1" fontId="9" fillId="11" borderId="8" xfId="3" applyNumberFormat="1" applyFont="1" applyFill="1" applyBorder="1" applyAlignment="1" applyProtection="1">
      <alignment horizontal="left"/>
      <protection locked="0" hidden="1"/>
    </xf>
    <xf numFmtId="1" fontId="9" fillId="11" borderId="11" xfId="3" applyNumberFormat="1" applyFont="1" applyFill="1" applyBorder="1" applyAlignment="1" applyProtection="1">
      <alignment horizontal="left"/>
      <protection locked="0" hidden="1"/>
    </xf>
    <xf numFmtId="1" fontId="9" fillId="11" borderId="12" xfId="3" applyNumberFormat="1" applyFont="1" applyFill="1" applyBorder="1" applyAlignment="1" applyProtection="1">
      <alignment horizontal="left"/>
      <protection locked="0" hidden="1"/>
    </xf>
    <xf numFmtId="0" fontId="36" fillId="23" borderId="27" xfId="3" applyFont="1" applyFill="1" applyBorder="1" applyAlignment="1" applyProtection="1">
      <alignment horizontal="center" vertical="center"/>
      <protection hidden="1"/>
    </xf>
    <xf numFmtId="0" fontId="36" fillId="23" borderId="39" xfId="3" applyFont="1" applyFill="1" applyBorder="1" applyAlignment="1" applyProtection="1">
      <alignment horizontal="center" vertical="center"/>
      <protection hidden="1"/>
    </xf>
    <xf numFmtId="0" fontId="36" fillId="23" borderId="51" xfId="3" applyFont="1" applyFill="1" applyBorder="1" applyAlignment="1" applyProtection="1">
      <alignment horizontal="center" vertical="center"/>
      <protection hidden="1"/>
    </xf>
    <xf numFmtId="0" fontId="33" fillId="13" borderId="1" xfId="3" applyFont="1" applyFill="1" applyBorder="1" applyAlignment="1" applyProtection="1">
      <alignment horizontal="left" vertical="center"/>
      <protection hidden="1"/>
    </xf>
    <xf numFmtId="0" fontId="33" fillId="13" borderId="6" xfId="3" applyFont="1" applyFill="1" applyBorder="1" applyAlignment="1" applyProtection="1">
      <alignment horizontal="left" vertical="center"/>
      <protection hidden="1"/>
    </xf>
    <xf numFmtId="0" fontId="33" fillId="13" borderId="59" xfId="3" applyFont="1" applyFill="1" applyBorder="1" applyAlignment="1" applyProtection="1">
      <alignment horizontal="left" vertical="center"/>
      <protection hidden="1"/>
    </xf>
    <xf numFmtId="2" fontId="33" fillId="24" borderId="4" xfId="4" applyNumberFormat="1" applyFont="1" applyFill="1" applyBorder="1" applyAlignment="1" applyProtection="1">
      <alignment horizontal="left"/>
      <protection hidden="1"/>
    </xf>
    <xf numFmtId="2" fontId="33" fillId="24" borderId="11" xfId="4" applyNumberFormat="1" applyFont="1" applyFill="1" applyBorder="1" applyAlignment="1" applyProtection="1">
      <alignment horizontal="left"/>
      <protection hidden="1"/>
    </xf>
    <xf numFmtId="2" fontId="33" fillId="24" borderId="3" xfId="4" applyNumberFormat="1" applyFont="1" applyFill="1" applyBorder="1" applyAlignment="1" applyProtection="1">
      <alignment horizontal="left"/>
      <protection hidden="1"/>
    </xf>
    <xf numFmtId="2" fontId="33" fillId="24" borderId="9" xfId="4" applyNumberFormat="1" applyFont="1" applyFill="1" applyBorder="1" applyAlignment="1" applyProtection="1">
      <alignment horizontal="left"/>
      <protection hidden="1"/>
    </xf>
    <xf numFmtId="0" fontId="45" fillId="9" borderId="33" xfId="1" applyFont="1" applyFill="1" applyBorder="1" applyAlignment="1" applyProtection="1">
      <alignment horizontal="center"/>
      <protection locked="0" hidden="1"/>
    </xf>
    <xf numFmtId="0" fontId="45" fillId="9" borderId="24" xfId="1" applyFont="1" applyFill="1" applyBorder="1" applyAlignment="1" applyProtection="1">
      <alignment horizontal="center"/>
      <protection locked="0" hidden="1"/>
    </xf>
    <xf numFmtId="0" fontId="45" fillId="9" borderId="34" xfId="1" applyFont="1" applyFill="1" applyBorder="1" applyAlignment="1" applyProtection="1">
      <alignment horizontal="center"/>
      <protection locked="0" hidden="1"/>
    </xf>
    <xf numFmtId="2" fontId="33" fillId="24" borderId="2" xfId="4" applyNumberFormat="1" applyFont="1" applyFill="1" applyBorder="1" applyAlignment="1" applyProtection="1">
      <alignment horizontal="left"/>
      <protection hidden="1"/>
    </xf>
    <xf numFmtId="2" fontId="33" fillId="24" borderId="7" xfId="4" applyNumberFormat="1" applyFont="1" applyFill="1" applyBorder="1" applyAlignment="1" applyProtection="1">
      <alignment horizontal="left"/>
      <protection hidden="1"/>
    </xf>
    <xf numFmtId="174" fontId="26" fillId="15" borderId="7" xfId="0" applyNumberFormat="1" applyFont="1" applyFill="1" applyBorder="1" applyAlignment="1" applyProtection="1">
      <alignment horizontal="center"/>
      <protection hidden="1"/>
    </xf>
    <xf numFmtId="174" fontId="26" fillId="15" borderId="8" xfId="0" applyNumberFormat="1" applyFont="1" applyFill="1" applyBorder="1" applyAlignment="1" applyProtection="1">
      <alignment horizontal="center"/>
      <protection hidden="1"/>
    </xf>
    <xf numFmtId="169" fontId="24" fillId="21" borderId="11" xfId="0" applyNumberFormat="1" applyFont="1" applyFill="1" applyBorder="1" applyAlignment="1" applyProtection="1">
      <alignment horizontal="center"/>
      <protection hidden="1"/>
    </xf>
    <xf numFmtId="169" fontId="24" fillId="21" borderId="12" xfId="0" applyNumberFormat="1" applyFont="1" applyFill="1" applyBorder="1" applyAlignment="1" applyProtection="1">
      <alignment horizontal="center"/>
      <protection hidden="1"/>
    </xf>
    <xf numFmtId="0" fontId="38" fillId="23" borderId="28" xfId="4" applyFont="1" applyFill="1" applyBorder="1" applyAlignment="1" applyProtection="1">
      <alignment horizontal="left"/>
      <protection hidden="1"/>
    </xf>
    <xf numFmtId="0" fontId="38" fillId="23" borderId="30" xfId="4" applyFont="1" applyFill="1" applyBorder="1" applyAlignment="1" applyProtection="1">
      <alignment horizontal="left"/>
      <protection hidden="1"/>
    </xf>
    <xf numFmtId="0" fontId="38" fillId="23" borderId="29" xfId="4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8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53" fillId="0" borderId="9" xfId="0" applyFont="1" applyBorder="1" applyAlignment="1" applyProtection="1">
      <alignment horizontal="left"/>
      <protection locked="0" hidden="1"/>
    </xf>
    <xf numFmtId="0" fontId="54" fillId="0" borderId="24" xfId="0" applyFont="1" applyBorder="1" applyAlignment="1" applyProtection="1">
      <alignment horizontal="left"/>
      <protection locked="0" hidden="1"/>
    </xf>
    <xf numFmtId="1" fontId="36" fillId="20" borderId="26" xfId="3" applyNumberFormat="1" applyFont="1" applyFill="1" applyBorder="1" applyAlignment="1" applyProtection="1">
      <alignment horizontal="center"/>
      <protection locked="0" hidden="1"/>
    </xf>
  </cellXfs>
  <cellStyles count="5">
    <cellStyle name="Hipervínculo" xfId="1" builtinId="8"/>
    <cellStyle name="Hipervínculo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</cellStyles>
  <dxfs count="18"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  <name val="Cambria"/>
        <scheme val="none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41275">
                <a:solidFill>
                  <a:srgbClr val="C00000"/>
                </a:solidFill>
              </a:ln>
              <a:effectLst/>
            </c:spPr>
          </c:marker>
          <c:xVal>
            <c:numRef>
              <c:f>'Retorno ACS'!$V$4:$V$4</c:f>
              <c:numCache>
                <c:formatCode>0.00\ "m3/h"</c:formatCode>
                <c:ptCount val="1"/>
                <c:pt idx="0">
                  <c:v>0.93295059443401851</c:v>
                </c:pt>
              </c:numCache>
            </c:numRef>
          </c:xVal>
          <c:yVal>
            <c:numRef>
              <c:f>'Retorno ACS'!$V$5:$V$5</c:f>
              <c:numCache>
                <c:formatCode>0.00\ "mca"</c:formatCode>
                <c:ptCount val="1"/>
                <c:pt idx="0">
                  <c:v>2.1028902079279992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C4-489C-A035-6B25E923D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8054976"/>
        <c:axId val="1698050624"/>
      </c:scatterChart>
      <c:valAx>
        <c:axId val="1698054976"/>
        <c:scaling>
          <c:orientation val="minMax"/>
          <c:max val="45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&quot;m3/h&quot;" sourceLinked="1"/>
        <c:majorTickMark val="out"/>
        <c:minorTickMark val="none"/>
        <c:tickLblPos val="nextTo"/>
        <c:crossAx val="1698050624"/>
        <c:crosses val="autoZero"/>
        <c:crossBetween val="midCat"/>
        <c:majorUnit val="5"/>
        <c:minorUnit val="5"/>
      </c:valAx>
      <c:valAx>
        <c:axId val="1698050624"/>
        <c:scaling>
          <c:orientation val="minMax"/>
          <c:max val="14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&quot;mca&quot;" sourceLinked="1"/>
        <c:majorTickMark val="out"/>
        <c:minorTickMark val="none"/>
        <c:tickLblPos val="nextTo"/>
        <c:crossAx val="1698054976"/>
        <c:crosses val="autoZero"/>
        <c:crossBetween val="midCat"/>
        <c:min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scarredondorivera.weebly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-nc-nd/4.0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oscarredondorivera.weebly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-nc-nd/4.0/" TargetMode="Externa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3" Type="http://schemas.openxmlformats.org/officeDocument/2006/relationships/image" Target="../media/image14.png"/><Relationship Id="rId7" Type="http://schemas.openxmlformats.org/officeDocument/2006/relationships/image" Target="../media/image18.gif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6" Type="http://schemas.openxmlformats.org/officeDocument/2006/relationships/image" Target="../media/image17.png"/><Relationship Id="rId5" Type="http://schemas.openxmlformats.org/officeDocument/2006/relationships/image" Target="../media/image16.png"/><Relationship Id="rId10" Type="http://schemas.openxmlformats.org/officeDocument/2006/relationships/image" Target="../media/image21.png"/><Relationship Id="rId4" Type="http://schemas.openxmlformats.org/officeDocument/2006/relationships/image" Target="../media/image15.png"/><Relationship Id="rId9" Type="http://schemas.openxmlformats.org/officeDocument/2006/relationships/image" Target="../media/image20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wmf"/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9525</xdr:colOff>
      <xdr:row>7</xdr:row>
      <xdr:rowOff>75314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1000" y="1057275"/>
          <a:ext cx="6105525" cy="265814"/>
        </a:xfrm>
        <a:prstGeom prst="rect">
          <a:avLst/>
        </a:prstGeom>
        <a:solidFill>
          <a:srgbClr val="5B9BD5">
            <a:lumMod val="5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s-ES" b="1"/>
            <a:t>PROCESO DE CALCULO</a:t>
          </a:r>
        </a:p>
      </xdr:txBody>
    </xdr:sp>
    <xdr:clientData/>
  </xdr:twoCellAnchor>
  <xdr:twoCellAnchor>
    <xdr:from>
      <xdr:col>1</xdr:col>
      <xdr:colOff>0</xdr:colOff>
      <xdr:row>13</xdr:row>
      <xdr:rowOff>19050</xdr:rowOff>
    </xdr:from>
    <xdr:to>
      <xdr:col>4</xdr:col>
      <xdr:colOff>561975</xdr:colOff>
      <xdr:row>15</xdr:row>
      <xdr:rowOff>57150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1000" y="2790825"/>
          <a:ext cx="2847975" cy="419100"/>
        </a:xfrm>
        <a:prstGeom prst="rect">
          <a:avLst/>
        </a:prstGeom>
        <a:solidFill>
          <a:srgbClr val="5B9BD5"/>
        </a:solidFill>
        <a:ln w="12700" cap="flat" cmpd="sng" algn="ctr">
          <a:solidFill>
            <a:schemeClr val="tx2">
              <a:lumMod val="75000"/>
            </a:scheme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s-ES" sz="1600" b="1"/>
            <a:t>Agua Fría</a:t>
          </a:r>
        </a:p>
      </xdr:txBody>
    </xdr:sp>
    <xdr:clientData/>
  </xdr:twoCellAnchor>
  <xdr:twoCellAnchor>
    <xdr:from>
      <xdr:col>2</xdr:col>
      <xdr:colOff>475366</xdr:colOff>
      <xdr:row>15</xdr:row>
      <xdr:rowOff>60774</xdr:rowOff>
    </xdr:from>
    <xdr:to>
      <xdr:col>3</xdr:col>
      <xdr:colOff>117403</xdr:colOff>
      <xdr:row>17</xdr:row>
      <xdr:rowOff>41281</xdr:rowOff>
    </xdr:to>
    <xdr:sp macro="" textlink="">
      <xdr:nvSpPr>
        <xdr:cNvPr id="6" name="Flecha abaj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618366" y="3213549"/>
          <a:ext cx="404037" cy="361507"/>
        </a:xfrm>
        <a:prstGeom prst="downArrow">
          <a:avLst/>
        </a:prstGeom>
        <a:solidFill>
          <a:srgbClr val="5B9BD5"/>
        </a:solidFill>
        <a:ln w="12700" cap="flat" cmpd="sng" algn="ctr">
          <a:solidFill>
            <a:schemeClr val="tx2">
              <a:lumMod val="75000"/>
            </a:scheme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endParaRPr lang="es-ES"/>
        </a:p>
      </xdr:txBody>
    </xdr:sp>
    <xdr:clientData/>
  </xdr:twoCellAnchor>
  <xdr:twoCellAnchor editAs="oneCell">
    <xdr:from>
      <xdr:col>11</xdr:col>
      <xdr:colOff>676275</xdr:colOff>
      <xdr:row>8</xdr:row>
      <xdr:rowOff>276225</xdr:rowOff>
    </xdr:from>
    <xdr:to>
      <xdr:col>13</xdr:col>
      <xdr:colOff>347662</xdr:colOff>
      <xdr:row>9</xdr:row>
      <xdr:rowOff>126206</xdr:rowOff>
    </xdr:to>
    <xdr:pic>
      <xdr:nvPicPr>
        <xdr:cNvPr id="7" name="Imagen 33" descr="http://es.creativecommons.org/blog/wp-content/uploads/2013/04/by-nc-nd.eu_peti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1714500"/>
          <a:ext cx="1195387" cy="421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476250</xdr:colOff>
      <xdr:row>8</xdr:row>
      <xdr:rowOff>257175</xdr:rowOff>
    </xdr:from>
    <xdr:to>
      <xdr:col>11</xdr:col>
      <xdr:colOff>171450</xdr:colOff>
      <xdr:row>9</xdr:row>
      <xdr:rowOff>135731</xdr:rowOff>
    </xdr:to>
    <xdr:pic>
      <xdr:nvPicPr>
        <xdr:cNvPr id="8" name="Imagen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95450"/>
          <a:ext cx="457200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</xdr:row>
      <xdr:rowOff>95250</xdr:rowOff>
    </xdr:from>
    <xdr:to>
      <xdr:col>9</xdr:col>
      <xdr:colOff>9525</xdr:colOff>
      <xdr:row>12</xdr:row>
      <xdr:rowOff>0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81000" y="1400175"/>
          <a:ext cx="6105525" cy="1047750"/>
        </a:xfrm>
        <a:prstGeom prst="rect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s-ES" sz="1600" b="1"/>
            <a:t>Consumos tipo:</a:t>
          </a:r>
        </a:p>
        <a:p>
          <a:pPr algn="ctr"/>
          <a:endParaRPr lang="es-ES" sz="1000" b="1"/>
        </a:p>
        <a:p>
          <a:pPr algn="ctr"/>
          <a:r>
            <a:rPr lang="es-ES" sz="1200" b="1"/>
            <a:t>PASO</a:t>
          </a:r>
          <a:r>
            <a:rPr lang="es-ES" sz="1200" b="1" baseline="0"/>
            <a:t> 1:  Datos generales de la instalación                                     .</a:t>
          </a:r>
        </a:p>
        <a:p>
          <a:pPr algn="ctr"/>
          <a:r>
            <a:rPr lang="es-ES" sz="1200" b="1" baseline="0"/>
            <a:t>PASO 2: Consumos TIPO de agua fría y caliente según CTE-HS4.</a:t>
          </a:r>
        </a:p>
        <a:p>
          <a:pPr algn="ctr"/>
          <a:r>
            <a:rPr lang="es-ES" sz="1200" b="1" baseline="0"/>
            <a:t>PASO 3: Establecer número de unidades de cada consumo tipo</a:t>
          </a:r>
          <a:endParaRPr lang="es-ES" sz="1200" b="1"/>
        </a:p>
      </xdr:txBody>
    </xdr:sp>
    <xdr:clientData/>
  </xdr:twoCellAnchor>
  <xdr:twoCellAnchor>
    <xdr:from>
      <xdr:col>6</xdr:col>
      <xdr:colOff>618241</xdr:colOff>
      <xdr:row>15</xdr:row>
      <xdr:rowOff>60774</xdr:rowOff>
    </xdr:from>
    <xdr:to>
      <xdr:col>7</xdr:col>
      <xdr:colOff>260278</xdr:colOff>
      <xdr:row>17</xdr:row>
      <xdr:rowOff>41281</xdr:rowOff>
    </xdr:to>
    <xdr:sp macro="" textlink="">
      <xdr:nvSpPr>
        <xdr:cNvPr id="12" name="Flecha abaj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809241" y="3213549"/>
          <a:ext cx="404037" cy="361507"/>
        </a:xfrm>
        <a:prstGeom prst="downArrow">
          <a:avLst/>
        </a:prstGeom>
        <a:solidFill>
          <a:schemeClr val="accent2">
            <a:lumMod val="60000"/>
            <a:lumOff val="40000"/>
          </a:schemeClr>
        </a:solidFill>
        <a:ln w="12700" cap="flat" cmpd="sng" algn="ctr">
          <a:solidFill>
            <a:schemeClr val="accent2">
              <a:lumMod val="75000"/>
            </a:scheme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5</xdr:col>
      <xdr:colOff>209550</xdr:colOff>
      <xdr:row>13</xdr:row>
      <xdr:rowOff>19050</xdr:rowOff>
    </xdr:from>
    <xdr:to>
      <xdr:col>9</xdr:col>
      <xdr:colOff>9525</xdr:colOff>
      <xdr:row>15</xdr:row>
      <xdr:rowOff>57150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638550" y="2790825"/>
          <a:ext cx="2847975" cy="4191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12700" cap="flat" cmpd="sng" algn="ctr">
          <a:solidFill>
            <a:schemeClr val="accent2">
              <a:lumMod val="75000"/>
            </a:scheme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s-ES" sz="1600" b="1"/>
            <a:t>Agua Caliente</a:t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4</xdr:col>
      <xdr:colOff>561975</xdr:colOff>
      <xdr:row>19</xdr:row>
      <xdr:rowOff>123825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81000" y="3619500"/>
          <a:ext cx="2847975" cy="419100"/>
        </a:xfrm>
        <a:prstGeom prst="rect">
          <a:avLst/>
        </a:prstGeom>
        <a:solidFill>
          <a:srgbClr val="5B9BD5"/>
        </a:solidFill>
        <a:ln w="12700" cap="flat" cmpd="sng" algn="ctr">
          <a:solidFill>
            <a:schemeClr val="tx2">
              <a:lumMod val="75000"/>
            </a:scheme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s-ES" sz="1600" b="1"/>
            <a:t>Cálculo</a:t>
          </a:r>
          <a:r>
            <a:rPr lang="es-ES" sz="1600" b="1" baseline="0"/>
            <a:t> tramos AF</a:t>
          </a:r>
          <a:endParaRPr lang="es-ES" sz="1600" b="1"/>
        </a:p>
      </xdr:txBody>
    </xdr:sp>
    <xdr:clientData/>
  </xdr:twoCellAnchor>
  <xdr:twoCellAnchor>
    <xdr:from>
      <xdr:col>2</xdr:col>
      <xdr:colOff>475366</xdr:colOff>
      <xdr:row>19</xdr:row>
      <xdr:rowOff>127449</xdr:rowOff>
    </xdr:from>
    <xdr:to>
      <xdr:col>3</xdr:col>
      <xdr:colOff>117403</xdr:colOff>
      <xdr:row>21</xdr:row>
      <xdr:rowOff>107956</xdr:rowOff>
    </xdr:to>
    <xdr:sp macro="" textlink="">
      <xdr:nvSpPr>
        <xdr:cNvPr id="15" name="Flecha abaj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618366" y="4042224"/>
          <a:ext cx="404037" cy="361507"/>
        </a:xfrm>
        <a:prstGeom prst="downArrow">
          <a:avLst/>
        </a:prstGeom>
        <a:solidFill>
          <a:srgbClr val="5B9BD5"/>
        </a:solidFill>
        <a:ln w="12700" cap="flat" cmpd="sng" algn="ctr">
          <a:solidFill>
            <a:schemeClr val="tx2">
              <a:lumMod val="75000"/>
            </a:scheme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6</xdr:col>
      <xdr:colOff>618241</xdr:colOff>
      <xdr:row>19</xdr:row>
      <xdr:rowOff>127449</xdr:rowOff>
    </xdr:from>
    <xdr:to>
      <xdr:col>7</xdr:col>
      <xdr:colOff>260278</xdr:colOff>
      <xdr:row>21</xdr:row>
      <xdr:rowOff>107956</xdr:rowOff>
    </xdr:to>
    <xdr:sp macro="" textlink="">
      <xdr:nvSpPr>
        <xdr:cNvPr id="16" name="Flecha abaj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809241" y="4042224"/>
          <a:ext cx="404037" cy="361507"/>
        </a:xfrm>
        <a:prstGeom prst="downArrow">
          <a:avLst/>
        </a:prstGeom>
        <a:solidFill>
          <a:schemeClr val="accent2">
            <a:lumMod val="60000"/>
            <a:lumOff val="40000"/>
          </a:schemeClr>
        </a:solidFill>
        <a:ln w="12700" cap="flat" cmpd="sng" algn="ctr">
          <a:solidFill>
            <a:schemeClr val="accent2">
              <a:lumMod val="75000"/>
            </a:scheme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5</xdr:col>
      <xdr:colOff>209550</xdr:colOff>
      <xdr:row>17</xdr:row>
      <xdr:rowOff>85725</xdr:rowOff>
    </xdr:from>
    <xdr:to>
      <xdr:col>9</xdr:col>
      <xdr:colOff>9525</xdr:colOff>
      <xdr:row>19</xdr:row>
      <xdr:rowOff>123825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638550" y="3619500"/>
          <a:ext cx="2847975" cy="4191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12700" cap="flat" cmpd="sng" algn="ctr">
          <a:solidFill>
            <a:schemeClr val="accent2">
              <a:lumMod val="75000"/>
            </a:scheme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s-ES" sz="1600" b="1"/>
            <a:t>Cálculo tramos ACS</a:t>
          </a:r>
        </a:p>
      </xdr:txBody>
    </xdr:sp>
    <xdr:clientData/>
  </xdr:twoCellAnchor>
  <xdr:twoCellAnchor>
    <xdr:from>
      <xdr:col>1</xdr:col>
      <xdr:colOff>0</xdr:colOff>
      <xdr:row>21</xdr:row>
      <xdr:rowOff>161925</xdr:rowOff>
    </xdr:from>
    <xdr:to>
      <xdr:col>4</xdr:col>
      <xdr:colOff>561975</xdr:colOff>
      <xdr:row>24</xdr:row>
      <xdr:rowOff>9525</xdr:rowOff>
    </xdr:to>
    <xdr:sp macro="" textlink="">
      <xdr:nvSpPr>
        <xdr:cNvPr id="18" name="Rectángul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81000" y="4457700"/>
          <a:ext cx="2847975" cy="419100"/>
        </a:xfrm>
        <a:prstGeom prst="rect">
          <a:avLst/>
        </a:prstGeom>
        <a:solidFill>
          <a:srgbClr val="5B9BD5"/>
        </a:solidFill>
        <a:ln w="12700" cap="flat" cmpd="sng" algn="ctr">
          <a:solidFill>
            <a:schemeClr val="tx2">
              <a:lumMod val="75000"/>
            </a:scheme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s-ES" sz="1600" b="1"/>
            <a:t>Grupo</a:t>
          </a:r>
          <a:r>
            <a:rPr lang="es-ES" sz="1600" b="1" baseline="0"/>
            <a:t> presión AF</a:t>
          </a:r>
          <a:endParaRPr lang="es-ES" sz="1600" b="1"/>
        </a:p>
      </xdr:txBody>
    </xdr:sp>
    <xdr:clientData/>
  </xdr:twoCellAnchor>
  <xdr:twoCellAnchor>
    <xdr:from>
      <xdr:col>5</xdr:col>
      <xdr:colOff>209550</xdr:colOff>
      <xdr:row>21</xdr:row>
      <xdr:rowOff>161925</xdr:rowOff>
    </xdr:from>
    <xdr:to>
      <xdr:col>9</xdr:col>
      <xdr:colOff>9525</xdr:colOff>
      <xdr:row>24</xdr:row>
      <xdr:rowOff>9525</xdr:rowOff>
    </xdr:to>
    <xdr:sp macro="" textlink="">
      <xdr:nvSpPr>
        <xdr:cNvPr id="21" name="Rectángul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638550" y="4457700"/>
          <a:ext cx="2847975" cy="4191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12700" cap="flat" cmpd="sng" algn="ctr">
          <a:solidFill>
            <a:schemeClr val="accent2">
              <a:lumMod val="75000"/>
            </a:scheme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s-ES" sz="1600" b="1"/>
            <a:t>Cálculo retorno ACS</a:t>
          </a:r>
        </a:p>
      </xdr:txBody>
    </xdr:sp>
    <xdr:clientData/>
  </xdr:twoCellAnchor>
  <xdr:twoCellAnchor>
    <xdr:from>
      <xdr:col>1</xdr:col>
      <xdr:colOff>0</xdr:colOff>
      <xdr:row>25</xdr:row>
      <xdr:rowOff>66675</xdr:rowOff>
    </xdr:from>
    <xdr:to>
      <xdr:col>9</xdr:col>
      <xdr:colOff>9525</xdr:colOff>
      <xdr:row>26</xdr:row>
      <xdr:rowOff>141989</xdr:rowOff>
    </xdr:to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81000" y="5124450"/>
          <a:ext cx="6105525" cy="265814"/>
        </a:xfrm>
        <a:prstGeom prst="rect">
          <a:avLst/>
        </a:prstGeom>
        <a:solidFill>
          <a:schemeClr val="bg1">
            <a:lumMod val="65000"/>
          </a:schemeClr>
        </a:solidFill>
        <a:ln w="12700" cap="flat" cmpd="sng" algn="ctr">
          <a:solidFill>
            <a:schemeClr val="tx1">
              <a:lumMod val="85000"/>
              <a:lumOff val="15000"/>
            </a:scheme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s-ES" b="1"/>
            <a:t>Resumen de cálculo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600075</xdr:colOff>
      <xdr:row>1</xdr:row>
      <xdr:rowOff>238125</xdr:rowOff>
    </xdr:from>
    <xdr:to>
      <xdr:col>9</xdr:col>
      <xdr:colOff>819150</xdr:colOff>
      <xdr:row>2</xdr:row>
      <xdr:rowOff>409575</xdr:rowOff>
    </xdr:to>
    <xdr:pic>
      <xdr:nvPicPr>
        <xdr:cNvPr id="12522" name="Imagen 33" descr="http://es.creativecommons.org/blog/wp-content/uploads/2013/04/by-nc-nd.eu_peti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E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36195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1</xdr:row>
      <xdr:rowOff>228600</xdr:rowOff>
    </xdr:from>
    <xdr:to>
      <xdr:col>8</xdr:col>
      <xdr:colOff>476250</xdr:colOff>
      <xdr:row>2</xdr:row>
      <xdr:rowOff>428625</xdr:rowOff>
    </xdr:to>
    <xdr:pic>
      <xdr:nvPicPr>
        <xdr:cNvPr id="12523" name="Imagen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EB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3524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2</xdr:row>
          <xdr:rowOff>9525</xdr:rowOff>
        </xdr:from>
        <xdr:to>
          <xdr:col>8</xdr:col>
          <xdr:colOff>447675</xdr:colOff>
          <xdr:row>3</xdr:row>
          <xdr:rowOff>190500</xdr:rowOff>
        </xdr:to>
        <xdr:sp macro="" textlink="">
          <xdr:nvSpPr>
            <xdr:cNvPr id="6198" name="Button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2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000080"/>
                  </a:solidFill>
                  <a:latin typeface="Calibri"/>
                  <a:cs typeface="Calibri"/>
                </a:rPr>
                <a:t>Nuevo tramo AF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4</xdr:row>
          <xdr:rowOff>85725</xdr:rowOff>
        </xdr:from>
        <xdr:to>
          <xdr:col>8</xdr:col>
          <xdr:colOff>447675</xdr:colOff>
          <xdr:row>6</xdr:row>
          <xdr:rowOff>0</xdr:rowOff>
        </xdr:to>
        <xdr:sp macro="" textlink="">
          <xdr:nvSpPr>
            <xdr:cNvPr id="6199" name="Button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2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 / Nuevo proyecto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4</xdr:row>
          <xdr:rowOff>85725</xdr:rowOff>
        </xdr:from>
        <xdr:to>
          <xdr:col>6</xdr:col>
          <xdr:colOff>466725</xdr:colOff>
          <xdr:row>6</xdr:row>
          <xdr:rowOff>0</xdr:rowOff>
        </xdr:to>
        <xdr:sp macro="" textlink="">
          <xdr:nvSpPr>
            <xdr:cNvPr id="6302" name="Button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2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Ultimo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2</xdr:row>
      <xdr:rowOff>148165</xdr:rowOff>
    </xdr:from>
    <xdr:to>
      <xdr:col>11</xdr:col>
      <xdr:colOff>148169</xdr:colOff>
      <xdr:row>12</xdr:row>
      <xdr:rowOff>10582</xdr:rowOff>
    </xdr:to>
    <xdr:pic>
      <xdr:nvPicPr>
        <xdr:cNvPr id="8058" name="Imagen 1">
          <a:extLst>
            <a:ext uri="{FF2B5EF4-FFF2-40B4-BE49-F238E27FC236}">
              <a16:creationId xmlns:a16="http://schemas.microsoft.com/office/drawing/2014/main" id="{00000000-0008-0000-0300-00007A1F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5" t="7849" r="22337" b="7034"/>
        <a:stretch/>
      </xdr:blipFill>
      <xdr:spPr bwMode="auto">
        <a:xfrm>
          <a:off x="5154084" y="582082"/>
          <a:ext cx="3196168" cy="1767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714375</xdr:colOff>
      <xdr:row>3</xdr:row>
      <xdr:rowOff>47625</xdr:rowOff>
    </xdr:from>
    <xdr:to>
      <xdr:col>32</xdr:col>
      <xdr:colOff>66675</xdr:colOff>
      <xdr:row>20</xdr:row>
      <xdr:rowOff>85342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63100" y="676275"/>
          <a:ext cx="7934325" cy="3066667"/>
        </a:xfrm>
        <a:prstGeom prst="rect">
          <a:avLst/>
        </a:prstGeom>
      </xdr:spPr>
    </xdr:pic>
    <xdr:clientData/>
  </xdr:twoCellAnchor>
  <xdr:twoCellAnchor editAs="oneCell">
    <xdr:from>
      <xdr:col>11</xdr:col>
      <xdr:colOff>723901</xdr:colOff>
      <xdr:row>22</xdr:row>
      <xdr:rowOff>76200</xdr:rowOff>
    </xdr:from>
    <xdr:to>
      <xdr:col>32</xdr:col>
      <xdr:colOff>76200</xdr:colOff>
      <xdr:row>40</xdr:row>
      <xdr:rowOff>94871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72626" y="4114800"/>
          <a:ext cx="7934324" cy="3028571"/>
        </a:xfrm>
        <a:prstGeom prst="rect">
          <a:avLst/>
        </a:prstGeom>
      </xdr:spPr>
    </xdr:pic>
    <xdr:clientData/>
  </xdr:twoCellAnchor>
  <xdr:twoCellAnchor editAs="oneCell">
    <xdr:from>
      <xdr:col>11</xdr:col>
      <xdr:colOff>714376</xdr:colOff>
      <xdr:row>42</xdr:row>
      <xdr:rowOff>0</xdr:rowOff>
    </xdr:from>
    <xdr:to>
      <xdr:col>32</xdr:col>
      <xdr:colOff>57150</xdr:colOff>
      <xdr:row>57</xdr:row>
      <xdr:rowOff>161548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63101" y="7429500"/>
          <a:ext cx="7924799" cy="30190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2</xdr:row>
          <xdr:rowOff>9525</xdr:rowOff>
        </xdr:from>
        <xdr:to>
          <xdr:col>8</xdr:col>
          <xdr:colOff>447675</xdr:colOff>
          <xdr:row>3</xdr:row>
          <xdr:rowOff>190500</xdr:rowOff>
        </xdr:to>
        <xdr:sp macro="" textlink="">
          <xdr:nvSpPr>
            <xdr:cNvPr id="29697" name="Button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5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00"/>
                  </a:solidFill>
                  <a:latin typeface="Calibri"/>
                  <a:cs typeface="Calibri"/>
                </a:rPr>
                <a:t>Nuevo tramo ACS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4</xdr:row>
          <xdr:rowOff>85725</xdr:rowOff>
        </xdr:from>
        <xdr:to>
          <xdr:col>8</xdr:col>
          <xdr:colOff>447675</xdr:colOff>
          <xdr:row>6</xdr:row>
          <xdr:rowOff>9525</xdr:rowOff>
        </xdr:to>
        <xdr:sp macro="" textlink="">
          <xdr:nvSpPr>
            <xdr:cNvPr id="29698" name="Button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5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 / Nuevo proyecto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4</xdr:row>
          <xdr:rowOff>85725</xdr:rowOff>
        </xdr:from>
        <xdr:to>
          <xdr:col>6</xdr:col>
          <xdr:colOff>466725</xdr:colOff>
          <xdr:row>6</xdr:row>
          <xdr:rowOff>9525</xdr:rowOff>
        </xdr:to>
        <xdr:sp macro="" textlink="">
          <xdr:nvSpPr>
            <xdr:cNvPr id="29699" name="Button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05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Ultimo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76201</xdr:colOff>
      <xdr:row>12</xdr:row>
      <xdr:rowOff>16767</xdr:rowOff>
    </xdr:from>
    <xdr:to>
      <xdr:col>32</xdr:col>
      <xdr:colOff>38100</xdr:colOff>
      <xdr:row>31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7876" y="2036067"/>
          <a:ext cx="7410449" cy="3659883"/>
        </a:xfrm>
        <a:prstGeom prst="rect">
          <a:avLst/>
        </a:prstGeom>
      </xdr:spPr>
    </xdr:pic>
    <xdr:clientData/>
  </xdr:twoCellAnchor>
  <xdr:twoCellAnchor>
    <xdr:from>
      <xdr:col>17</xdr:col>
      <xdr:colOff>238125</xdr:colOff>
      <xdr:row>11</xdr:row>
      <xdr:rowOff>176212</xdr:rowOff>
    </xdr:from>
    <xdr:to>
      <xdr:col>32</xdr:col>
      <xdr:colOff>161925</xdr:colOff>
      <xdr:row>30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114</xdr:row>
      <xdr:rowOff>0</xdr:rowOff>
    </xdr:from>
    <xdr:to>
      <xdr:col>11</xdr:col>
      <xdr:colOff>590550</xdr:colOff>
      <xdr:row>129</xdr:row>
      <xdr:rowOff>28575</xdr:rowOff>
    </xdr:to>
    <xdr:pic>
      <xdr:nvPicPr>
        <xdr:cNvPr id="2579" name="Imagen 2">
          <a:extLst>
            <a:ext uri="{FF2B5EF4-FFF2-40B4-BE49-F238E27FC236}">
              <a16:creationId xmlns:a16="http://schemas.microsoft.com/office/drawing/2014/main" id="{00000000-0008-0000-0700-00001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21955125"/>
          <a:ext cx="63246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8</xdr:col>
      <xdr:colOff>314325</xdr:colOff>
      <xdr:row>158</xdr:row>
      <xdr:rowOff>19050</xdr:rowOff>
    </xdr:to>
    <xdr:pic>
      <xdr:nvPicPr>
        <xdr:cNvPr id="2580" name="Imagen 2" descr="http://www.lawebdelasenergiasrenovables.com/wp-content/uploads/2011/05/T13DiametroInteriores_y_espesores_Cobre.png">
          <a:extLst>
            <a:ext uri="{FF2B5EF4-FFF2-40B4-BE49-F238E27FC236}">
              <a16:creationId xmlns:a16="http://schemas.microsoft.com/office/drawing/2014/main" id="{00000000-0008-0000-07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25955625"/>
          <a:ext cx="3762375" cy="440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53</xdr:row>
      <xdr:rowOff>133350</xdr:rowOff>
    </xdr:from>
    <xdr:to>
      <xdr:col>10</xdr:col>
      <xdr:colOff>152400</xdr:colOff>
      <xdr:row>88</xdr:row>
      <xdr:rowOff>180975</xdr:rowOff>
    </xdr:to>
    <xdr:pic>
      <xdr:nvPicPr>
        <xdr:cNvPr id="13562" name="Imagen 6">
          <a:extLst>
            <a:ext uri="{FF2B5EF4-FFF2-40B4-BE49-F238E27FC236}">
              <a16:creationId xmlns:a16="http://schemas.microsoft.com/office/drawing/2014/main" id="{00000000-0008-0000-0900-0000FA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0229850"/>
          <a:ext cx="6877050" cy="671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381000</xdr:colOff>
          <xdr:row>43</xdr:row>
          <xdr:rowOff>95250</xdr:rowOff>
        </xdr:from>
        <xdr:to>
          <xdr:col>12</xdr:col>
          <xdr:colOff>1685925</xdr:colOff>
          <xdr:row>46</xdr:row>
          <xdr:rowOff>133350</xdr:rowOff>
        </xdr:to>
        <xdr:sp macro="" textlink="">
          <xdr:nvSpPr>
            <xdr:cNvPr id="10311" name="Object 71" hidden="1">
              <a:extLst>
                <a:ext uri="{63B3BB69-23CF-44E3-9099-C40C66FF867C}">
                  <a14:compatExt spid="_x0000_s10311"/>
                </a:ext>
                <a:ext uri="{FF2B5EF4-FFF2-40B4-BE49-F238E27FC236}">
                  <a16:creationId xmlns:a16="http://schemas.microsoft.com/office/drawing/2014/main" id="{00000000-0008-0000-09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46</xdr:row>
          <xdr:rowOff>76200</xdr:rowOff>
        </xdr:from>
        <xdr:to>
          <xdr:col>12</xdr:col>
          <xdr:colOff>95250</xdr:colOff>
          <xdr:row>49</xdr:row>
          <xdr:rowOff>114300</xdr:rowOff>
        </xdr:to>
        <xdr:sp macro="" textlink="">
          <xdr:nvSpPr>
            <xdr:cNvPr id="10312" name="Object 72" hidden="1">
              <a:extLst>
                <a:ext uri="{63B3BB69-23CF-44E3-9099-C40C66FF867C}">
                  <a14:compatExt spid="_x0000_s10312"/>
                </a:ext>
                <a:ext uri="{FF2B5EF4-FFF2-40B4-BE49-F238E27FC236}">
                  <a16:creationId xmlns:a16="http://schemas.microsoft.com/office/drawing/2014/main" id="{00000000-0008-0000-09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742950</xdr:colOff>
      <xdr:row>53</xdr:row>
      <xdr:rowOff>142875</xdr:rowOff>
    </xdr:from>
    <xdr:to>
      <xdr:col>13</xdr:col>
      <xdr:colOff>666750</xdr:colOff>
      <xdr:row>57</xdr:row>
      <xdr:rowOff>38100</xdr:rowOff>
    </xdr:to>
    <xdr:pic>
      <xdr:nvPicPr>
        <xdr:cNvPr id="13563" name="Imagen 3">
          <a:extLst>
            <a:ext uri="{FF2B5EF4-FFF2-40B4-BE49-F238E27FC236}">
              <a16:creationId xmlns:a16="http://schemas.microsoft.com/office/drawing/2014/main" id="{00000000-0008-0000-0900-0000FB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10239375"/>
          <a:ext cx="2209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733425</xdr:colOff>
      <xdr:row>57</xdr:row>
      <xdr:rowOff>28575</xdr:rowOff>
    </xdr:from>
    <xdr:to>
      <xdr:col>12</xdr:col>
      <xdr:colOff>352425</xdr:colOff>
      <xdr:row>60</xdr:row>
      <xdr:rowOff>104775</xdr:rowOff>
    </xdr:to>
    <xdr:pic>
      <xdr:nvPicPr>
        <xdr:cNvPr id="13564" name="Imagen 4">
          <a:extLst>
            <a:ext uri="{FF2B5EF4-FFF2-40B4-BE49-F238E27FC236}">
              <a16:creationId xmlns:a16="http://schemas.microsoft.com/office/drawing/2014/main" id="{00000000-0008-0000-0900-0000FC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10887075"/>
          <a:ext cx="1143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81</xdr:row>
      <xdr:rowOff>0</xdr:rowOff>
    </xdr:from>
    <xdr:to>
      <xdr:col>17</xdr:col>
      <xdr:colOff>571500</xdr:colOff>
      <xdr:row>104</xdr:row>
      <xdr:rowOff>0</xdr:rowOff>
    </xdr:to>
    <xdr:pic>
      <xdr:nvPicPr>
        <xdr:cNvPr id="13565" name="Imagen 2">
          <a:extLst>
            <a:ext uri="{FF2B5EF4-FFF2-40B4-BE49-F238E27FC236}">
              <a16:creationId xmlns:a16="http://schemas.microsoft.com/office/drawing/2014/main" id="{00000000-0008-0000-0900-0000FD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5430500"/>
          <a:ext cx="5143500" cy="438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18</xdr:col>
      <xdr:colOff>400050</xdr:colOff>
      <xdr:row>76</xdr:row>
      <xdr:rowOff>66675</xdr:rowOff>
    </xdr:to>
    <xdr:pic>
      <xdr:nvPicPr>
        <xdr:cNvPr id="13566" name="Imagen 3">
          <a:extLst>
            <a:ext uri="{FF2B5EF4-FFF2-40B4-BE49-F238E27FC236}">
              <a16:creationId xmlns:a16="http://schemas.microsoft.com/office/drawing/2014/main" id="{00000000-0008-0000-0900-0000FE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1620500"/>
          <a:ext cx="5734050" cy="292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89</xdr:row>
      <xdr:rowOff>38100</xdr:rowOff>
    </xdr:from>
    <xdr:to>
      <xdr:col>10</xdr:col>
      <xdr:colOff>695325</xdr:colOff>
      <xdr:row>103</xdr:row>
      <xdr:rowOff>123825</xdr:rowOff>
    </xdr:to>
    <xdr:pic>
      <xdr:nvPicPr>
        <xdr:cNvPr id="14" name="Imagen 1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6992600"/>
          <a:ext cx="7419975" cy="275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85726</xdr:colOff>
      <xdr:row>1</xdr:row>
      <xdr:rowOff>57150</xdr:rowOff>
    </xdr:from>
    <xdr:to>
      <xdr:col>10</xdr:col>
      <xdr:colOff>85726</xdr:colOff>
      <xdr:row>19</xdr:row>
      <xdr:rowOff>143833</xdr:rowOff>
    </xdr:to>
    <xdr:pic>
      <xdr:nvPicPr>
        <xdr:cNvPr id="12" name="Imagen 11" descr="http://www.qualityservice.es/curso/ncm/ncm.ht4.gif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6" y="247650"/>
          <a:ext cx="4572000" cy="351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219075</xdr:colOff>
      <xdr:row>1</xdr:row>
      <xdr:rowOff>38100</xdr:rowOff>
    </xdr:from>
    <xdr:to>
      <xdr:col>17</xdr:col>
      <xdr:colOff>276225</xdr:colOff>
      <xdr:row>19</xdr:row>
      <xdr:rowOff>95250</xdr:rowOff>
    </xdr:to>
    <xdr:pic>
      <xdr:nvPicPr>
        <xdr:cNvPr id="13" name="Imagen 12" descr="http://www.qualityservice.es/curso/ncm/ncm.ht3.gif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228600"/>
          <a:ext cx="5391150" cy="348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1</xdr:rowOff>
    </xdr:from>
    <xdr:to>
      <xdr:col>3</xdr:col>
      <xdr:colOff>704850</xdr:colOff>
      <xdr:row>20</xdr:row>
      <xdr:rowOff>50223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81000" y="190501"/>
          <a:ext cx="2228850" cy="36697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13</xdr:col>
      <xdr:colOff>582382</xdr:colOff>
      <xdr:row>50</xdr:row>
      <xdr:rowOff>29350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81000" y="4000500"/>
          <a:ext cx="9726382" cy="555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8.xml"/><Relationship Id="rId6" Type="http://schemas.openxmlformats.org/officeDocument/2006/relationships/image" Target="../media/image11.w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0.w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bara.es/productos/bombas-centrifugas-verticales/mvp/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productfinder.wilo.com/be/en/c000000010002929a00040023/product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theme="9" tint="-0.499984740745262"/>
  </sheetPr>
  <dimension ref="B2:N12"/>
  <sheetViews>
    <sheetView tabSelected="1" workbookViewId="0">
      <selection activeCell="L18" sqref="L18"/>
    </sheetView>
  </sheetViews>
  <sheetFormatPr baseColWidth="10" defaultRowHeight="15" x14ac:dyDescent="0.25"/>
  <cols>
    <col min="1" max="1" width="5.7109375" style="80" customWidth="1"/>
    <col min="2" max="16384" width="11.42578125" style="80"/>
  </cols>
  <sheetData>
    <row r="2" spans="2:14" ht="18.75" x14ac:dyDescent="0.3">
      <c r="B2" s="416" t="s">
        <v>414</v>
      </c>
      <c r="C2" s="417"/>
      <c r="D2" s="417"/>
      <c r="E2" s="417"/>
      <c r="F2" s="417" t="s">
        <v>415</v>
      </c>
      <c r="G2" s="417"/>
      <c r="H2" s="417"/>
      <c r="I2" s="417"/>
      <c r="J2" s="417"/>
      <c r="K2" s="417"/>
      <c r="L2" s="417" t="s">
        <v>424</v>
      </c>
      <c r="M2" s="418"/>
      <c r="N2" s="418"/>
    </row>
    <row r="3" spans="2:14" ht="5.0999999999999996" customHeight="1" x14ac:dyDescent="0.25"/>
    <row r="4" spans="2:14" ht="15" customHeight="1" x14ac:dyDescent="0.25">
      <c r="B4" s="409" t="s">
        <v>412</v>
      </c>
      <c r="C4" s="410"/>
      <c r="D4" s="410"/>
      <c r="E4" s="410"/>
      <c r="F4" s="410"/>
      <c r="G4" s="410"/>
      <c r="H4" s="410"/>
      <c r="I4" s="411"/>
      <c r="K4" s="422" t="s">
        <v>413</v>
      </c>
      <c r="L4" s="423"/>
      <c r="M4" s="423"/>
      <c r="N4" s="424"/>
    </row>
    <row r="5" spans="2:14" x14ac:dyDescent="0.25">
      <c r="B5" s="412" t="s">
        <v>416</v>
      </c>
      <c r="C5" s="413"/>
      <c r="D5" s="413"/>
      <c r="E5" s="413"/>
      <c r="F5" s="413"/>
      <c r="G5" s="413"/>
      <c r="H5" s="413"/>
      <c r="I5" s="414"/>
      <c r="K5" s="425"/>
      <c r="L5" s="426"/>
      <c r="M5" s="426"/>
      <c r="N5" s="427"/>
    </row>
    <row r="6" spans="2:14" x14ac:dyDescent="0.25">
      <c r="K6" s="425"/>
      <c r="L6" s="426"/>
      <c r="M6" s="426"/>
      <c r="N6" s="427"/>
    </row>
    <row r="7" spans="2:14" x14ac:dyDescent="0.25">
      <c r="K7" s="425"/>
      <c r="L7" s="426"/>
      <c r="M7" s="426"/>
      <c r="N7" s="427"/>
    </row>
    <row r="8" spans="2:14" ht="5.0999999999999996" customHeight="1" x14ac:dyDescent="0.25">
      <c r="K8" s="425"/>
      <c r="L8" s="426"/>
      <c r="M8" s="426"/>
      <c r="N8" s="427"/>
    </row>
    <row r="9" spans="2:14" ht="45" customHeight="1" x14ac:dyDescent="0.25">
      <c r="K9" s="425" t="s">
        <v>419</v>
      </c>
      <c r="L9" s="426"/>
      <c r="M9" s="426"/>
      <c r="N9" s="427"/>
    </row>
    <row r="10" spans="2:14" x14ac:dyDescent="0.25">
      <c r="K10" s="415"/>
      <c r="L10" s="407"/>
      <c r="M10" s="407"/>
      <c r="N10" s="408"/>
    </row>
    <row r="11" spans="2:14" x14ac:dyDescent="0.25">
      <c r="K11" s="428" t="s">
        <v>418</v>
      </c>
      <c r="L11" s="429"/>
      <c r="M11" s="429"/>
      <c r="N11" s="430"/>
    </row>
    <row r="12" spans="2:14" x14ac:dyDescent="0.25">
      <c r="K12" s="419" t="s">
        <v>417</v>
      </c>
      <c r="L12" s="420"/>
      <c r="M12" s="420"/>
      <c r="N12" s="421"/>
    </row>
  </sheetData>
  <sheetProtection algorithmName="SHA-512" hashValue="AahNUTRAt84dnw4avBUsTZmqJOJZupX2FdpyaeOxPJ/k+TQpsTLeAOGh40Eb33KAz6hPpk/6YGEamhjlVpfBhw==" saltValue="cvMvcuC00d857yCZXSOSDQ==" spinCount="100000" sheet="1" objects="1" scenarios="1" selectLockedCells="1" selectUnlockedCells="1"/>
  <mergeCells count="4">
    <mergeCell ref="K12:N12"/>
    <mergeCell ref="K4:N8"/>
    <mergeCell ref="K11:N11"/>
    <mergeCell ref="K9:N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/>
  <dimension ref="J5:O64"/>
  <sheetViews>
    <sheetView topLeftCell="A36" workbookViewId="0">
      <selection activeCell="Q54" sqref="Q54"/>
    </sheetView>
  </sheetViews>
  <sheetFormatPr baseColWidth="10" defaultRowHeight="15" x14ac:dyDescent="0.25"/>
  <cols>
    <col min="1" max="1" width="5.7109375" customWidth="1"/>
  </cols>
  <sheetData>
    <row r="5" spans="10:10" x14ac:dyDescent="0.25">
      <c r="J5" s="302"/>
    </row>
    <row r="9" spans="10:10" x14ac:dyDescent="0.25">
      <c r="J9" s="302"/>
    </row>
    <row r="43" spans="12:15" x14ac:dyDescent="0.25">
      <c r="L43" s="27" t="s">
        <v>88</v>
      </c>
      <c r="M43" s="27"/>
      <c r="N43" s="27"/>
      <c r="O43" s="27"/>
    </row>
    <row r="44" spans="12:15" x14ac:dyDescent="0.25">
      <c r="L44" s="27"/>
      <c r="M44" s="27"/>
      <c r="N44" s="27"/>
      <c r="O44" s="27"/>
    </row>
    <row r="45" spans="12:15" x14ac:dyDescent="0.25">
      <c r="L45" s="27"/>
      <c r="M45" s="27"/>
      <c r="N45" s="27"/>
      <c r="O45" s="27"/>
    </row>
    <row r="46" spans="12:15" x14ac:dyDescent="0.25">
      <c r="L46" s="27"/>
      <c r="M46" s="27"/>
      <c r="N46" s="27"/>
      <c r="O46" s="27"/>
    </row>
    <row r="47" spans="12:15" x14ac:dyDescent="0.25">
      <c r="L47" s="27"/>
      <c r="M47" s="27"/>
      <c r="N47" s="27"/>
      <c r="O47" s="27"/>
    </row>
    <row r="48" spans="12:15" x14ac:dyDescent="0.25">
      <c r="L48" s="27"/>
      <c r="M48" s="27"/>
      <c r="N48" s="27"/>
      <c r="O48" s="27"/>
    </row>
    <row r="49" spans="12:15" x14ac:dyDescent="0.25">
      <c r="M49" s="27"/>
      <c r="N49" s="27"/>
      <c r="O49" s="27"/>
    </row>
    <row r="50" spans="12:15" x14ac:dyDescent="0.25">
      <c r="L50" s="27"/>
      <c r="M50" s="27"/>
      <c r="N50" s="27"/>
      <c r="O50" s="27"/>
    </row>
    <row r="51" spans="12:15" x14ac:dyDescent="0.25">
      <c r="L51" s="27"/>
      <c r="M51" s="27"/>
      <c r="N51" s="27"/>
      <c r="O51" s="27"/>
    </row>
    <row r="52" spans="12:15" x14ac:dyDescent="0.25">
      <c r="L52" s="27"/>
      <c r="M52" s="27"/>
      <c r="N52" s="27"/>
      <c r="O52" s="27"/>
    </row>
    <row r="53" spans="12:15" x14ac:dyDescent="0.25">
      <c r="L53" s="27"/>
      <c r="M53" s="27"/>
      <c r="N53" s="27"/>
      <c r="O53" s="27"/>
    </row>
    <row r="54" spans="12:15" x14ac:dyDescent="0.25">
      <c r="L54" s="27"/>
      <c r="M54" s="27"/>
      <c r="N54" s="27"/>
      <c r="O54" s="27"/>
    </row>
    <row r="55" spans="12:15" x14ac:dyDescent="0.25">
      <c r="L55" s="27"/>
      <c r="M55" s="27"/>
      <c r="N55" s="27"/>
      <c r="O55" s="27"/>
    </row>
    <row r="56" spans="12:15" x14ac:dyDescent="0.25">
      <c r="L56" s="27"/>
      <c r="M56" s="27"/>
      <c r="N56" s="27"/>
      <c r="O56" s="27"/>
    </row>
    <row r="57" spans="12:15" x14ac:dyDescent="0.25">
      <c r="L57" s="27"/>
      <c r="M57" s="27"/>
      <c r="N57" s="27"/>
      <c r="O57" s="27"/>
    </row>
    <row r="58" spans="12:15" x14ac:dyDescent="0.25">
      <c r="L58" s="27"/>
      <c r="M58" s="27"/>
      <c r="N58" s="27"/>
      <c r="O58" s="27"/>
    </row>
    <row r="59" spans="12:15" x14ac:dyDescent="0.25">
      <c r="L59" s="27"/>
      <c r="M59" s="27"/>
      <c r="N59" s="27"/>
      <c r="O59" s="27"/>
    </row>
    <row r="60" spans="12:15" x14ac:dyDescent="0.25">
      <c r="L60" s="27"/>
      <c r="M60" s="27"/>
      <c r="N60" s="27"/>
      <c r="O60" s="27"/>
    </row>
    <row r="61" spans="12:15" x14ac:dyDescent="0.25">
      <c r="L61" s="27"/>
      <c r="M61" s="27"/>
      <c r="N61" s="27"/>
      <c r="O61" s="27"/>
    </row>
    <row r="62" spans="12:15" x14ac:dyDescent="0.25">
      <c r="L62" s="27"/>
      <c r="M62" s="27"/>
      <c r="N62" s="27"/>
      <c r="O62" s="27"/>
    </row>
    <row r="63" spans="12:15" x14ac:dyDescent="0.25">
      <c r="L63" s="27"/>
      <c r="M63" s="27"/>
      <c r="N63" s="27"/>
      <c r="O63" s="27"/>
    </row>
    <row r="64" spans="12:15" x14ac:dyDescent="0.25">
      <c r="L64" s="27"/>
      <c r="M64" s="27"/>
      <c r="N64" s="27"/>
      <c r="O64" s="27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311" r:id="rId3">
          <objectPr defaultSize="0" autoPict="0" r:id="rId4">
            <anchor moveWithCells="1" sizeWithCells="1">
              <from>
                <xdr:col>10</xdr:col>
                <xdr:colOff>381000</xdr:colOff>
                <xdr:row>43</xdr:row>
                <xdr:rowOff>95250</xdr:rowOff>
              </from>
              <to>
                <xdr:col>12</xdr:col>
                <xdr:colOff>1685925</xdr:colOff>
                <xdr:row>46</xdr:row>
                <xdr:rowOff>133350</xdr:rowOff>
              </to>
            </anchor>
          </objectPr>
        </oleObject>
      </mc:Choice>
      <mc:Fallback>
        <oleObject progId="Equation.3" shapeId="10311" r:id="rId3"/>
      </mc:Fallback>
    </mc:AlternateContent>
    <mc:AlternateContent xmlns:mc="http://schemas.openxmlformats.org/markup-compatibility/2006">
      <mc:Choice Requires="x14">
        <oleObject progId="Equation.3" shapeId="10312" r:id="rId5">
          <objectPr defaultSize="0" autoPict="0" r:id="rId6">
            <anchor moveWithCells="1" sizeWithCells="1">
              <from>
                <xdr:col>11</xdr:col>
                <xdr:colOff>9525</xdr:colOff>
                <xdr:row>46</xdr:row>
                <xdr:rowOff>76200</xdr:rowOff>
              </from>
              <to>
                <xdr:col>12</xdr:col>
                <xdr:colOff>95250</xdr:colOff>
                <xdr:row>49</xdr:row>
                <xdr:rowOff>114300</xdr:rowOff>
              </to>
            </anchor>
          </objectPr>
        </oleObject>
      </mc:Choice>
      <mc:Fallback>
        <oleObject progId="Equation.3" shapeId="10312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6" tint="-0.499984740745262"/>
  </sheetPr>
  <dimension ref="B1:AA252"/>
  <sheetViews>
    <sheetView zoomScale="80" zoomScaleNormal="80" workbookViewId="0">
      <selection activeCell="D7" sqref="D7"/>
    </sheetView>
  </sheetViews>
  <sheetFormatPr baseColWidth="10" defaultRowHeight="15" x14ac:dyDescent="0.25"/>
  <cols>
    <col min="1" max="2" width="3.7109375" style="27" customWidth="1"/>
    <col min="3" max="3" width="14.7109375" style="27" customWidth="1"/>
    <col min="4" max="4" width="24.7109375" style="27" customWidth="1"/>
    <col min="5" max="5" width="12.7109375" style="27" bestFit="1" customWidth="1"/>
    <col min="6" max="6" width="11.42578125" style="27"/>
    <col min="7" max="7" width="7.7109375" style="27" hidden="1" customWidth="1"/>
    <col min="8" max="8" width="3.7109375" style="27" customWidth="1"/>
    <col min="9" max="9" width="14.5703125" style="27" customWidth="1"/>
    <col min="10" max="10" width="24.7109375" style="27" customWidth="1"/>
    <col min="11" max="12" width="11.42578125" style="27"/>
    <col min="13" max="13" width="3.7109375" style="27" customWidth="1"/>
    <col min="14" max="14" width="14.7109375" style="27" customWidth="1"/>
    <col min="15" max="15" width="24.7109375" style="27" customWidth="1"/>
    <col min="16" max="17" width="11.42578125" style="27"/>
    <col min="18" max="18" width="3.7109375" style="27" customWidth="1"/>
    <col min="19" max="19" width="14.7109375" style="27" customWidth="1"/>
    <col min="20" max="20" width="24.7109375" style="27" customWidth="1"/>
    <col min="21" max="22" width="11.42578125" style="27"/>
    <col min="23" max="23" width="3.7109375" style="27" customWidth="1"/>
    <col min="24" max="24" width="14.7109375" style="27" customWidth="1"/>
    <col min="25" max="25" width="24.7109375" style="27" customWidth="1"/>
    <col min="26" max="16384" width="11.42578125" style="27"/>
  </cols>
  <sheetData>
    <row r="1" spans="2:26" s="80" customFormat="1" ht="9.9499999999999993" customHeight="1" thickBot="1" x14ac:dyDescent="0.3"/>
    <row r="2" spans="2:26" s="80" customFormat="1" ht="20.100000000000001" customHeight="1" x14ac:dyDescent="0.25">
      <c r="H2" s="85"/>
      <c r="I2" s="86" t="s">
        <v>268</v>
      </c>
      <c r="J2" s="87"/>
      <c r="K2" s="87"/>
      <c r="L2" s="87"/>
      <c r="M2" s="87"/>
      <c r="N2" s="88"/>
    </row>
    <row r="3" spans="2:26" s="81" customFormat="1" ht="36.75" customHeight="1" thickBot="1" x14ac:dyDescent="0.3">
      <c r="B3" s="92" t="s">
        <v>267</v>
      </c>
      <c r="H3" s="89"/>
      <c r="I3" s="90"/>
      <c r="J3" s="91" t="s">
        <v>269</v>
      </c>
      <c r="K3" s="437" t="s">
        <v>270</v>
      </c>
      <c r="L3" s="437"/>
      <c r="M3" s="437"/>
      <c r="N3" s="438"/>
    </row>
    <row r="4" spans="2:26" s="80" customFormat="1" ht="9.9499999999999993" customHeight="1" x14ac:dyDescent="0.25">
      <c r="J4" s="84"/>
      <c r="K4" s="84"/>
      <c r="L4" s="84"/>
    </row>
    <row r="5" spans="2:26" s="101" customFormat="1" ht="20.100000000000001" customHeight="1" x14ac:dyDescent="0.25">
      <c r="C5" s="102" t="s">
        <v>274</v>
      </c>
      <c r="H5" s="107" t="s">
        <v>291</v>
      </c>
      <c r="T5" s="107" t="s">
        <v>293</v>
      </c>
    </row>
    <row r="6" spans="2:26" s="80" customFormat="1" x14ac:dyDescent="0.25"/>
    <row r="7" spans="2:26" s="80" customFormat="1" x14ac:dyDescent="0.25">
      <c r="B7" s="443" t="s">
        <v>59</v>
      </c>
      <c r="C7" s="443"/>
      <c r="D7" s="373" t="s">
        <v>43</v>
      </c>
      <c r="K7" s="439" t="s">
        <v>290</v>
      </c>
      <c r="L7" s="439"/>
      <c r="P7" s="441" t="s">
        <v>273</v>
      </c>
      <c r="Q7" s="442"/>
      <c r="U7" s="448" t="s">
        <v>294</v>
      </c>
      <c r="V7" s="449"/>
    </row>
    <row r="8" spans="2:26" s="80" customFormat="1" ht="15" customHeight="1" x14ac:dyDescent="0.25">
      <c r="B8" s="443" t="s">
        <v>288</v>
      </c>
      <c r="C8" s="443"/>
      <c r="D8" s="374">
        <v>10</v>
      </c>
      <c r="H8" s="445" t="s">
        <v>272</v>
      </c>
      <c r="I8" s="445"/>
      <c r="J8" s="103" t="s">
        <v>156</v>
      </c>
      <c r="K8" s="104" t="s">
        <v>21</v>
      </c>
      <c r="L8" s="105" t="s">
        <v>292</v>
      </c>
      <c r="N8" s="104" t="s">
        <v>21</v>
      </c>
      <c r="O8" s="106" t="s">
        <v>237</v>
      </c>
      <c r="P8" s="105" t="s">
        <v>292</v>
      </c>
      <c r="Q8" s="105" t="s">
        <v>292</v>
      </c>
      <c r="R8" s="281" t="s">
        <v>396</v>
      </c>
      <c r="U8" s="104" t="s">
        <v>21</v>
      </c>
      <c r="V8" s="105" t="s">
        <v>292</v>
      </c>
    </row>
    <row r="9" spans="2:26" s="80" customFormat="1" ht="15" customHeight="1" x14ac:dyDescent="0.25">
      <c r="B9" s="443" t="s">
        <v>289</v>
      </c>
      <c r="C9" s="443"/>
      <c r="D9" s="374">
        <v>50</v>
      </c>
      <c r="E9" s="93"/>
      <c r="F9" s="259">
        <f>IF(((19+K14)/(10*(1+K14)))&lt;0.2,0.2,((19+K14)/(10*(1+K14))))</f>
        <v>0.2</v>
      </c>
      <c r="H9" s="444" t="str">
        <f>D18</f>
        <v>VIVIENDA TIPO A</v>
      </c>
      <c r="I9" s="444"/>
      <c r="J9" s="260" t="str">
        <f>D19</f>
        <v>Cocina + 2 baños (ducha + bañera)</v>
      </c>
      <c r="K9" s="96">
        <v>20</v>
      </c>
      <c r="L9" s="95">
        <f>K9*E36</f>
        <v>33</v>
      </c>
      <c r="N9" s="96">
        <v>1</v>
      </c>
      <c r="O9" s="378" t="s">
        <v>260</v>
      </c>
      <c r="P9" s="100">
        <v>0.2</v>
      </c>
      <c r="Q9" s="95">
        <f>N9*P9</f>
        <v>0.2</v>
      </c>
      <c r="R9" s="281">
        <f>IF(X9&lt;13.1,16,IF($C$46="Cobre",INDEX(Tablas!$B$137:$B$146,MATCH(X9,Tablas!$C$137:$C$146,1)+1,1),INDEX(Tablas!$S$98:$S$111,MATCH(X9,Tablas!$R$98:$R$111,1)+1,1)))</f>
        <v>16</v>
      </c>
      <c r="T9" s="260" t="str">
        <f>H9</f>
        <v>VIVIENDA TIPO A</v>
      </c>
      <c r="U9" s="371">
        <v>2</v>
      </c>
      <c r="V9" s="261">
        <f>F36*K9</f>
        <v>18.2</v>
      </c>
      <c r="X9" s="387">
        <f>(4000*P9/(3.1416*$D$11))^0.5</f>
        <v>9.2131665470463684</v>
      </c>
      <c r="Y9" s="388">
        <f>IF($C$46="Cobre",VLOOKUP($R$9,Tablas!$B$137:$C$146,2,FALSE),INDEX(Tablas!$R$98:$R$111,MATCH(IF(X9&lt;13,13,X9),Tablas!$R$98:$R$111,1)+1,1))</f>
        <v>13.1</v>
      </c>
      <c r="Z9" s="389">
        <f>4000*P9/(3.1416*Y9*Y9)</f>
        <v>1.483872230469337</v>
      </c>
    </row>
    <row r="10" spans="2:26" s="80" customFormat="1" ht="15" customHeight="1" x14ac:dyDescent="0.25">
      <c r="B10" s="443" t="s">
        <v>37</v>
      </c>
      <c r="C10" s="443"/>
      <c r="D10" s="375" t="s">
        <v>41</v>
      </c>
      <c r="F10" s="259">
        <f>IF((L14+Q14)&lt;20,0.682*((L14+Q14)^0.45)-0.14,1.7*((L14+Q14)^0.21)-0.7)/(L14+Q14)</f>
        <v>6.4963294352226628E-2</v>
      </c>
      <c r="H10" s="444" t="str">
        <f>J18</f>
        <v>VIVIENDA TIPO B</v>
      </c>
      <c r="I10" s="444"/>
      <c r="J10" s="260" t="str">
        <f>J19</f>
        <v>Duplex Cocina + 3 baños (2xducha + bañera)</v>
      </c>
      <c r="K10" s="96">
        <v>5</v>
      </c>
      <c r="L10" s="95">
        <f>K10*K36</f>
        <v>9.25</v>
      </c>
      <c r="N10" s="96">
        <v>1</v>
      </c>
      <c r="O10" s="378" t="s">
        <v>238</v>
      </c>
      <c r="P10" s="100">
        <v>1</v>
      </c>
      <c r="Q10" s="95">
        <f>N10*P10</f>
        <v>1</v>
      </c>
      <c r="R10" s="281">
        <f>IF(X10&lt;13.1,16,IF($C$46="Cobre",INDEX(Tablas!$B$137:$B$146,MATCH(X10,Tablas!$C$137:$C$146,1)+1,1),INDEX(Tablas!$S$98:$S$111,MATCH(X10,Tablas!$R$98:$R$111,1)+1,1)))</f>
        <v>32</v>
      </c>
      <c r="T10" s="260" t="str">
        <f>H10</f>
        <v>VIVIENDA TIPO B</v>
      </c>
      <c r="U10" s="371">
        <v>4</v>
      </c>
      <c r="V10" s="261">
        <f>L36*K10</f>
        <v>5.05</v>
      </c>
      <c r="X10" s="387">
        <f>(4000*P10/(3.1416*$D$11))^0.5</f>
        <v>20.601266687222694</v>
      </c>
      <c r="Y10" s="388">
        <f>IF($C$46="Cobre",VLOOKUP($R$9,Tablas!$B$137:$C$146,2,FALSE),INDEX(Tablas!$R$98:$R$111,MATCH(IF(X10&lt;13,13,X10),Tablas!$R$98:$R$111,1)+1,1))</f>
        <v>26.2</v>
      </c>
      <c r="Z10" s="389">
        <f>4000*P10/(3.1416*Y10*Y10)</f>
        <v>1.8548402880866712</v>
      </c>
    </row>
    <row r="11" spans="2:26" s="80" customFormat="1" ht="15.75" customHeight="1" x14ac:dyDescent="0.25">
      <c r="B11" s="443" t="s">
        <v>249</v>
      </c>
      <c r="C11" s="443"/>
      <c r="D11" s="376">
        <v>3</v>
      </c>
      <c r="E11" s="83" t="str">
        <f>IF(D12&lt;&gt;Tablas!$B$87,"",(IF(D12=Tablas!$B$87,IF('Consumos TIPO'!D11&gt;2,"Revisar",""))))</f>
        <v/>
      </c>
      <c r="F11" s="259">
        <f>IF(((19+K14)/(10*(1+K14)))&lt;0.2,0.2,((19+K14)/(10*(1+K14))))</f>
        <v>0.2</v>
      </c>
      <c r="H11" s="444" t="str">
        <f>O18</f>
        <v>VIVIENDA TIPO C</v>
      </c>
      <c r="I11" s="444"/>
      <c r="J11" s="260" t="str">
        <f>O19</f>
        <v>Cocina + 2 baños (ducha + bañera) + aseo</v>
      </c>
      <c r="K11" s="96">
        <v>0</v>
      </c>
      <c r="L11" s="95">
        <f>K11*P36</f>
        <v>0</v>
      </c>
      <c r="N11" s="96">
        <v>1</v>
      </c>
      <c r="O11" s="378" t="s">
        <v>239</v>
      </c>
      <c r="P11" s="100">
        <f>D14*1.1</f>
        <v>2.8506823718817231</v>
      </c>
      <c r="Q11" s="95">
        <f>N11*P11</f>
        <v>2.8506823718817231</v>
      </c>
      <c r="R11" s="281">
        <f>IF(X11&lt;13.1,16,IF($C$46="Cobre",INDEX(Tablas!$B$137:$B$146,MATCH(X11,Tablas!$C$137:$C$146,1)+1,1),INDEX(Tablas!$S$98:$S$111,MATCH(X11,Tablas!$R$98:$R$111,1)+1,1)))</f>
        <v>50</v>
      </c>
      <c r="T11" s="260" t="str">
        <f>H11</f>
        <v>VIVIENDA TIPO C</v>
      </c>
      <c r="U11" s="371">
        <v>38</v>
      </c>
      <c r="V11" s="261">
        <f>Q36*K11</f>
        <v>0</v>
      </c>
      <c r="X11" s="387">
        <f>(4000*P11/(3.1416*$D$11))^0.5</f>
        <v>34.783104317047645</v>
      </c>
      <c r="Y11" s="388">
        <f>IF($C$46="Cobre",VLOOKUP($R$9,Tablas!$B$137:$C$146,2,FALSE),INDEX(Tablas!$R$98:$R$111,MATCH(IF(X11&lt;13,13,X11),Tablas!$R$98:$R$111,1)+1,1))</f>
        <v>40.9</v>
      </c>
      <c r="Z11" s="389">
        <f>4000*P11/(3.1416*Y11*Y11)</f>
        <v>2.1697580943393784</v>
      </c>
    </row>
    <row r="12" spans="2:26" s="80" customFormat="1" ht="15.75" customHeight="1" x14ac:dyDescent="0.25">
      <c r="B12" s="443" t="s">
        <v>271</v>
      </c>
      <c r="C12" s="443"/>
      <c r="D12" s="377" t="s">
        <v>99</v>
      </c>
      <c r="E12" s="141" t="s">
        <v>223</v>
      </c>
      <c r="F12" s="259">
        <f>IF((SUM(V9:V13))&lt;20,0.682*((SUM(V9:V13))^0.45)-0.14,1.7*((SUM(V9:V13))^0.21)-0.7)/(SUM(V9:V13))</f>
        <v>0.11146363135412406</v>
      </c>
      <c r="H12" s="444" t="str">
        <f>T18</f>
        <v>VIVIENDA TIPO D</v>
      </c>
      <c r="I12" s="444"/>
      <c r="J12" s="260" t="str">
        <f>T19</f>
        <v>Cocina + 3 baños (2 duchas + bañera)</v>
      </c>
      <c r="K12" s="96">
        <v>0</v>
      </c>
      <c r="L12" s="95">
        <f>K12*U36</f>
        <v>0</v>
      </c>
      <c r="N12" s="96">
        <v>1</v>
      </c>
      <c r="O12" s="378" t="s">
        <v>240</v>
      </c>
      <c r="P12" s="100">
        <v>2</v>
      </c>
      <c r="Q12" s="95">
        <f>N12*P12</f>
        <v>2</v>
      </c>
      <c r="R12" s="281">
        <f>IF(X12&lt;13.1,16,IF($C$46="Cobre",INDEX(Tablas!$B$137:$B$146,MATCH(X12,Tablas!$C$137:$C$146,1)+1,1),INDEX(Tablas!$S$98:$S$111,MATCH(X12,Tablas!$R$98:$R$111,1)+1,1)))</f>
        <v>40</v>
      </c>
      <c r="T12" s="260" t="str">
        <f>H12</f>
        <v>VIVIENDA TIPO D</v>
      </c>
      <c r="U12" s="371">
        <v>5</v>
      </c>
      <c r="V12" s="261">
        <f>V36*K12</f>
        <v>0</v>
      </c>
      <c r="X12" s="387">
        <f>(4000*P12/(3.1416*$D$11))^0.5</f>
        <v>29.134590751135377</v>
      </c>
      <c r="Y12" s="388">
        <f>IF($C$46="Cobre",VLOOKUP($R$9,Tablas!$B$137:$C$146,2,FALSE),INDEX(Tablas!$R$98:$R$111,MATCH(IF(X12&lt;13,13,X12),Tablas!$R$98:$R$111,1)+1,1))</f>
        <v>32.700000000000003</v>
      </c>
      <c r="Z12" s="389">
        <f>4000*P12/(3.1416*Y12*Y12)</f>
        <v>2.381461656527629</v>
      </c>
    </row>
    <row r="13" spans="2:26" s="80" customFormat="1" ht="15.75" customHeight="1" x14ac:dyDescent="0.25">
      <c r="B13" s="446" t="s">
        <v>265</v>
      </c>
      <c r="C13" s="446"/>
      <c r="D13" s="117">
        <f>(L14+Q14)*E13</f>
        <v>3.1377714463379558</v>
      </c>
      <c r="E13" s="77">
        <f>IF(D10="UNE 149.201/07",F10,F9)</f>
        <v>6.4963294352226628E-2</v>
      </c>
      <c r="H13" s="444" t="str">
        <f>Y18</f>
        <v>VIVIENDA TIPO E</v>
      </c>
      <c r="I13" s="444"/>
      <c r="J13" s="260" t="str">
        <f>Y19</f>
        <v>Cocina + 1 baño</v>
      </c>
      <c r="K13" s="96">
        <v>0</v>
      </c>
      <c r="L13" s="95">
        <f>K13*Z36</f>
        <v>0</v>
      </c>
      <c r="N13" s="96">
        <v>0</v>
      </c>
      <c r="O13" s="378" t="s">
        <v>323</v>
      </c>
      <c r="P13" s="100">
        <v>0</v>
      </c>
      <c r="Q13" s="95">
        <f>N13*P13</f>
        <v>0</v>
      </c>
      <c r="R13" s="281">
        <f>IF(X13&lt;13.1,16,IF($C$46="Cobre",INDEX(Tablas!$B$137:$B$146,MATCH(X13,Tablas!$C$137:$C$146,1)+1,1),INDEX(Tablas!$S$98:$S$111,MATCH(X13,Tablas!$R$98:$R$111,1)+1,1)))</f>
        <v>16</v>
      </c>
      <c r="T13" s="260" t="str">
        <f>H13</f>
        <v>VIVIENDA TIPO E</v>
      </c>
      <c r="U13" s="371">
        <v>5</v>
      </c>
      <c r="V13" s="261">
        <f>AA36*K13</f>
        <v>0</v>
      </c>
      <c r="X13" s="387">
        <f>(4000*P13/(3.1416*$D$11))^0.5</f>
        <v>0</v>
      </c>
      <c r="Y13" s="388">
        <f>IF($C$46="Cobre",VLOOKUP($R$9,Tablas!$B$137:$C$146,2,FALSE),INDEX(Tablas!$R$98:$R$111,MATCH(IF(X13&lt;13,13,X13),Tablas!$R$98:$R$111,1)+1,1))</f>
        <v>13.1</v>
      </c>
      <c r="Z13" s="389">
        <f>4000*P13/(3.1416*Y13*Y13)</f>
        <v>0</v>
      </c>
    </row>
    <row r="14" spans="2:26" s="80" customFormat="1" x14ac:dyDescent="0.25">
      <c r="B14" s="447" t="s">
        <v>264</v>
      </c>
      <c r="C14" s="447"/>
      <c r="D14" s="117">
        <f>SUM(V9:V13)*E14</f>
        <v>2.5915294289833843</v>
      </c>
      <c r="E14" s="77">
        <f>IF(D10="UNE 149.201/07",F12,F11)</f>
        <v>0.11146363135412406</v>
      </c>
      <c r="K14" s="97">
        <f>SUM(K9:K13)</f>
        <v>25</v>
      </c>
      <c r="L14" s="140">
        <f>SUM(L9:L13)</f>
        <v>42.25</v>
      </c>
      <c r="N14" s="97">
        <f>SUM(N9:N13)</f>
        <v>4</v>
      </c>
      <c r="P14" s="95">
        <f>SUM(P9:P13)</f>
        <v>6.0506823718817229</v>
      </c>
      <c r="Q14" s="140">
        <f>SUM(Q9:Q13)</f>
        <v>6.0506823718817229</v>
      </c>
      <c r="U14" s="97">
        <f>SUM(U9:U13)</f>
        <v>54</v>
      </c>
      <c r="V14" s="140">
        <f>SUM(V9:V13)</f>
        <v>23.25</v>
      </c>
      <c r="X14" s="281"/>
      <c r="Y14" s="281"/>
    </row>
    <row r="15" spans="2:26" s="80" customFormat="1" x14ac:dyDescent="0.25">
      <c r="K15" s="94"/>
      <c r="L15" s="94"/>
      <c r="P15" s="98"/>
      <c r="Q15" s="99"/>
      <c r="R15" s="98"/>
    </row>
    <row r="16" spans="2:26" s="101" customFormat="1" ht="20.100000000000001" customHeight="1" x14ac:dyDescent="0.25">
      <c r="C16" s="102" t="s">
        <v>275</v>
      </c>
      <c r="H16" s="102"/>
    </row>
    <row r="17" spans="3:27" s="80" customFormat="1" ht="15.75" thickBot="1" x14ac:dyDescent="0.3"/>
    <row r="18" spans="3:27" s="80" customFormat="1" ht="15.75" thickBot="1" x14ac:dyDescent="0.3">
      <c r="D18" s="431" t="s">
        <v>266</v>
      </c>
      <c r="E18" s="432"/>
      <c r="F18" s="433"/>
      <c r="J18" s="431" t="s">
        <v>256</v>
      </c>
      <c r="K18" s="432"/>
      <c r="L18" s="433"/>
      <c r="O18" s="431" t="s">
        <v>257</v>
      </c>
      <c r="P18" s="432"/>
      <c r="Q18" s="433"/>
      <c r="T18" s="431" t="s">
        <v>258</v>
      </c>
      <c r="U18" s="432"/>
      <c r="V18" s="433"/>
      <c r="Y18" s="431" t="s">
        <v>259</v>
      </c>
      <c r="Z18" s="432"/>
      <c r="AA18" s="433"/>
    </row>
    <row r="19" spans="3:27" s="80" customFormat="1" ht="15.75" thickBot="1" x14ac:dyDescent="0.3">
      <c r="C19" s="83"/>
      <c r="D19" s="434" t="s">
        <v>276</v>
      </c>
      <c r="E19" s="435"/>
      <c r="F19" s="436"/>
      <c r="J19" s="434" t="s">
        <v>420</v>
      </c>
      <c r="K19" s="435"/>
      <c r="L19" s="436"/>
      <c r="O19" s="431" t="s">
        <v>277</v>
      </c>
      <c r="P19" s="432"/>
      <c r="Q19" s="433"/>
      <c r="T19" s="431" t="s">
        <v>278</v>
      </c>
      <c r="U19" s="432"/>
      <c r="V19" s="433"/>
      <c r="Y19" s="431" t="s">
        <v>244</v>
      </c>
      <c r="Z19" s="432"/>
      <c r="AA19" s="433"/>
    </row>
    <row r="20" spans="3:27" s="80" customFormat="1" ht="30.75" thickBot="1" x14ac:dyDescent="0.3">
      <c r="C20" s="129">
        <f>SUM(C21:C31)</f>
        <v>11</v>
      </c>
      <c r="D20" s="126" t="s">
        <v>1</v>
      </c>
      <c r="E20" s="127" t="s">
        <v>2</v>
      </c>
      <c r="F20" s="128" t="s">
        <v>3</v>
      </c>
      <c r="I20" s="129">
        <f>SUM(I21:I31)</f>
        <v>12</v>
      </c>
      <c r="J20" s="126" t="s">
        <v>1</v>
      </c>
      <c r="K20" s="127" t="s">
        <v>2</v>
      </c>
      <c r="L20" s="128" t="s">
        <v>3</v>
      </c>
      <c r="N20" s="129">
        <f>SUM(N21:N31)</f>
        <v>13</v>
      </c>
      <c r="O20" s="126" t="s">
        <v>1</v>
      </c>
      <c r="P20" s="127" t="s">
        <v>2</v>
      </c>
      <c r="Q20" s="128" t="s">
        <v>3</v>
      </c>
      <c r="S20" s="129">
        <f>SUM(S21:S31)</f>
        <v>15</v>
      </c>
      <c r="T20" s="126" t="s">
        <v>1</v>
      </c>
      <c r="U20" s="127" t="s">
        <v>2</v>
      </c>
      <c r="V20" s="128" t="s">
        <v>3</v>
      </c>
      <c r="X20" s="129">
        <f>SUM(X21:X31)</f>
        <v>7</v>
      </c>
      <c r="Y20" s="126" t="s">
        <v>1</v>
      </c>
      <c r="Z20" s="127" t="s">
        <v>2</v>
      </c>
      <c r="AA20" s="128" t="s">
        <v>3</v>
      </c>
    </row>
    <row r="21" spans="3:27" s="80" customFormat="1" x14ac:dyDescent="0.25">
      <c r="C21" s="113">
        <v>1</v>
      </c>
      <c r="D21" s="379" t="s">
        <v>6</v>
      </c>
      <c r="E21" s="121">
        <f>IF(D21="",0,C21*VLOOKUP(D21,Tablas!$B$6:$D$26,2,FALSE))</f>
        <v>0.2</v>
      </c>
      <c r="F21" s="122">
        <f>IF(D21="",0,C21*VLOOKUP(D21,Tablas!$B$6:$D$26,3,FALSE))</f>
        <v>0.1</v>
      </c>
      <c r="I21" s="113">
        <v>2</v>
      </c>
      <c r="J21" s="379" t="s">
        <v>6</v>
      </c>
      <c r="K21" s="121">
        <f>IF(J21="",0,I21*VLOOKUP(J21,Tablas!$B$6:$D$26,2,FALSE))</f>
        <v>0.4</v>
      </c>
      <c r="L21" s="122">
        <f>IF(J21="",0,I21*VLOOKUP(J21,Tablas!$B$6:$D$26,3,FALSE))</f>
        <v>0.2</v>
      </c>
      <c r="N21" s="113">
        <v>1</v>
      </c>
      <c r="O21" s="379" t="s">
        <v>6</v>
      </c>
      <c r="P21" s="121">
        <f>IF(O21="",0,N21*VLOOKUP(O21,Tablas!$B$6:$D$26,2,FALSE))</f>
        <v>0.2</v>
      </c>
      <c r="Q21" s="122">
        <f>IF(O21="",0,N21*VLOOKUP(O21,Tablas!$B$6:$D$26,3,FALSE))</f>
        <v>0.1</v>
      </c>
      <c r="S21" s="113">
        <v>2</v>
      </c>
      <c r="T21" s="379" t="s">
        <v>6</v>
      </c>
      <c r="U21" s="121">
        <f>IF(T21="",0,S21*VLOOKUP(T21,Tablas!$B$6:$D$26,2,FALSE))</f>
        <v>0.4</v>
      </c>
      <c r="V21" s="122">
        <f>IF(T21="",0,S21*VLOOKUP(T21,Tablas!$B$6:$D$26,3,FALSE))</f>
        <v>0.2</v>
      </c>
      <c r="X21" s="113">
        <v>0</v>
      </c>
      <c r="Y21" s="379" t="s">
        <v>6</v>
      </c>
      <c r="Z21" s="121">
        <f>IF(Y21="",0,X21*VLOOKUP(Y21,Tablas!$B$6:$D$26,2,FALSE))</f>
        <v>0</v>
      </c>
      <c r="AA21" s="122">
        <f>IF(Y21="",0,X21*VLOOKUP(Y21,Tablas!$B$6:$D$26,3,FALSE))</f>
        <v>0</v>
      </c>
    </row>
    <row r="22" spans="3:27" s="80" customFormat="1" x14ac:dyDescent="0.25">
      <c r="C22" s="114">
        <v>2</v>
      </c>
      <c r="D22" s="380" t="s">
        <v>10</v>
      </c>
      <c r="E22" s="28">
        <f>IF(D22="",0,C22*VLOOKUP(D22,Tablas!$B$6:$D$26,2,FALSE))</f>
        <v>0.2</v>
      </c>
      <c r="F22" s="123">
        <f>IF(D22="",0,C22*VLOOKUP(D22,Tablas!$B$6:$D$26,3,FALSE))</f>
        <v>0</v>
      </c>
      <c r="I22" s="114">
        <v>2</v>
      </c>
      <c r="J22" s="380" t="s">
        <v>10</v>
      </c>
      <c r="K22" s="28">
        <f>IF(J22="",0,I22*VLOOKUP(J22,Tablas!$B$6:$D$26,2,FALSE))</f>
        <v>0.2</v>
      </c>
      <c r="L22" s="123">
        <f>IF(J22="",0,I22*VLOOKUP(J22,Tablas!$B$6:$D$26,3,FALSE))</f>
        <v>0</v>
      </c>
      <c r="N22" s="114">
        <v>3</v>
      </c>
      <c r="O22" s="380" t="s">
        <v>10</v>
      </c>
      <c r="P22" s="28">
        <f>IF(O22="",0,N22*VLOOKUP(O22,Tablas!$B$6:$D$26,2,FALSE))</f>
        <v>0.30000000000000004</v>
      </c>
      <c r="Q22" s="123">
        <f>IF(O22="",0,N22*VLOOKUP(O22,Tablas!$B$6:$D$26,3,FALSE))</f>
        <v>0</v>
      </c>
      <c r="S22" s="114">
        <v>3</v>
      </c>
      <c r="T22" s="380" t="s">
        <v>10</v>
      </c>
      <c r="U22" s="28">
        <f>IF(T22="",0,S22*VLOOKUP(T22,Tablas!$B$6:$D$26,2,FALSE))</f>
        <v>0.30000000000000004</v>
      </c>
      <c r="V22" s="123">
        <f>IF(T22="",0,S22*VLOOKUP(T22,Tablas!$B$6:$D$26,3,FALSE))</f>
        <v>0</v>
      </c>
      <c r="X22" s="114">
        <v>1</v>
      </c>
      <c r="Y22" s="380" t="s">
        <v>10</v>
      </c>
      <c r="Z22" s="28">
        <f>IF(Y22="",0,X22*VLOOKUP(Y22,Tablas!$B$6:$D$26,2,FALSE))</f>
        <v>0.1</v>
      </c>
      <c r="AA22" s="123">
        <f>IF(Y22="",0,X22*VLOOKUP(Y22,Tablas!$B$6:$D$26,3,FALSE))</f>
        <v>0</v>
      </c>
    </row>
    <row r="23" spans="3:27" s="80" customFormat="1" x14ac:dyDescent="0.25">
      <c r="C23" s="114">
        <v>2</v>
      </c>
      <c r="D23" s="380" t="s">
        <v>5</v>
      </c>
      <c r="E23" s="28">
        <f>IF(D23="",0,C23*VLOOKUP(D23,Tablas!$B$6:$D$26,2,FALSE))</f>
        <v>0.2</v>
      </c>
      <c r="F23" s="123">
        <f>IF(D23="",0,C23*VLOOKUP(D23,Tablas!$B$6:$D$26,3,FALSE))</f>
        <v>0.13</v>
      </c>
      <c r="I23" s="114">
        <v>2</v>
      </c>
      <c r="J23" s="380" t="s">
        <v>5</v>
      </c>
      <c r="K23" s="28">
        <f>IF(J23="",0,I23*VLOOKUP(J23,Tablas!$B$6:$D$26,2,FALSE))</f>
        <v>0.2</v>
      </c>
      <c r="L23" s="123">
        <f>IF(J23="",0,I23*VLOOKUP(J23,Tablas!$B$6:$D$26,3,FALSE))</f>
        <v>0.13</v>
      </c>
      <c r="N23" s="114">
        <v>3</v>
      </c>
      <c r="O23" s="380" t="s">
        <v>5</v>
      </c>
      <c r="P23" s="28">
        <f>IF(O23="",0,N23*VLOOKUP(O23,Tablas!$B$6:$D$26,2,FALSE))</f>
        <v>0.30000000000000004</v>
      </c>
      <c r="Q23" s="123">
        <f>IF(O23="",0,N23*VLOOKUP(O23,Tablas!$B$6:$D$26,3,FALSE))</f>
        <v>0.19500000000000001</v>
      </c>
      <c r="S23" s="114">
        <v>3</v>
      </c>
      <c r="T23" s="380" t="s">
        <v>5</v>
      </c>
      <c r="U23" s="28">
        <f>IF(T23="",0,S23*VLOOKUP(T23,Tablas!$B$6:$D$26,2,FALSE))</f>
        <v>0.30000000000000004</v>
      </c>
      <c r="V23" s="123">
        <f>IF(T23="",0,S23*VLOOKUP(T23,Tablas!$B$6:$D$26,3,FALSE))</f>
        <v>0.19500000000000001</v>
      </c>
      <c r="X23" s="114">
        <v>1</v>
      </c>
      <c r="Y23" s="380" t="s">
        <v>5</v>
      </c>
      <c r="Z23" s="28">
        <f>IF(Y23="",0,X23*VLOOKUP(Y23,Tablas!$B$6:$D$26,2,FALSE))</f>
        <v>0.1</v>
      </c>
      <c r="AA23" s="123">
        <f>IF(Y23="",0,X23*VLOOKUP(Y23,Tablas!$B$6:$D$26,3,FALSE))</f>
        <v>6.5000000000000002E-2</v>
      </c>
    </row>
    <row r="24" spans="3:27" s="80" customFormat="1" x14ac:dyDescent="0.25">
      <c r="C24" s="114">
        <v>2</v>
      </c>
      <c r="D24" s="380" t="s">
        <v>9</v>
      </c>
      <c r="E24" s="28">
        <f>IF(D24="",0,C24*VLOOKUP(D24,Tablas!$B$6:$D$26,2,FALSE))</f>
        <v>0.2</v>
      </c>
      <c r="F24" s="123">
        <f>IF(D24="",0,C24*VLOOKUP(D24,Tablas!$B$6:$D$26,3,FALSE))</f>
        <v>0.13</v>
      </c>
      <c r="I24" s="114">
        <v>2</v>
      </c>
      <c r="J24" s="380" t="s">
        <v>9</v>
      </c>
      <c r="K24" s="28">
        <f>IF(J24="",0,I24*VLOOKUP(J24,Tablas!$B$6:$D$26,2,FALSE))</f>
        <v>0.2</v>
      </c>
      <c r="L24" s="123">
        <f>IF(J24="",0,I24*VLOOKUP(J24,Tablas!$B$6:$D$26,3,FALSE))</f>
        <v>0.13</v>
      </c>
      <c r="N24" s="114">
        <v>2</v>
      </c>
      <c r="O24" s="380" t="s">
        <v>9</v>
      </c>
      <c r="P24" s="28">
        <f>IF(O24="",0,N24*VLOOKUP(O24,Tablas!$B$6:$D$26,2,FALSE))</f>
        <v>0.2</v>
      </c>
      <c r="Q24" s="123">
        <f>IF(O24="",0,N24*VLOOKUP(O24,Tablas!$B$6:$D$26,3,FALSE))</f>
        <v>0.13</v>
      </c>
      <c r="S24" s="114">
        <v>3</v>
      </c>
      <c r="T24" s="380" t="s">
        <v>9</v>
      </c>
      <c r="U24" s="28">
        <f>IF(T24="",0,S24*VLOOKUP(T24,Tablas!$B$6:$D$26,2,FALSE))</f>
        <v>0.30000000000000004</v>
      </c>
      <c r="V24" s="123">
        <f>IF(T24="",0,S24*VLOOKUP(T24,Tablas!$B$6:$D$26,3,FALSE))</f>
        <v>0.19500000000000001</v>
      </c>
      <c r="X24" s="114">
        <v>1</v>
      </c>
      <c r="Y24" s="380" t="s">
        <v>9</v>
      </c>
      <c r="Z24" s="28">
        <f>IF(Y24="",0,X24*VLOOKUP(Y24,Tablas!$B$6:$D$26,2,FALSE))</f>
        <v>0.1</v>
      </c>
      <c r="AA24" s="123">
        <f>IF(Y24="",0,X24*VLOOKUP(Y24,Tablas!$B$6:$D$26,3,FALSE))</f>
        <v>6.5000000000000002E-2</v>
      </c>
    </row>
    <row r="25" spans="3:27" s="80" customFormat="1" x14ac:dyDescent="0.25">
      <c r="C25" s="114">
        <v>1</v>
      </c>
      <c r="D25" s="380" t="s">
        <v>7</v>
      </c>
      <c r="E25" s="28">
        <f>IF(D25="",0,C25*VLOOKUP(D25,Tablas!$B$6:$D$26,2,FALSE))</f>
        <v>0.3</v>
      </c>
      <c r="F25" s="123">
        <f>IF(D25="",0,C25*VLOOKUP(D25,Tablas!$B$6:$D$26,3,FALSE))</f>
        <v>0.2</v>
      </c>
      <c r="I25" s="114">
        <v>1</v>
      </c>
      <c r="J25" s="380" t="s">
        <v>7</v>
      </c>
      <c r="K25" s="28">
        <f>IF(J25="",0,I25*VLOOKUP(J25,Tablas!$B$6:$D$26,2,FALSE))</f>
        <v>0.3</v>
      </c>
      <c r="L25" s="123">
        <f>IF(J25="",0,I25*VLOOKUP(J25,Tablas!$B$6:$D$26,3,FALSE))</f>
        <v>0.2</v>
      </c>
      <c r="N25" s="114">
        <v>1</v>
      </c>
      <c r="O25" s="380" t="s">
        <v>7</v>
      </c>
      <c r="P25" s="28">
        <f>IF(O25="",0,N25*VLOOKUP(O25,Tablas!$B$6:$D$26,2,FALSE))</f>
        <v>0.3</v>
      </c>
      <c r="Q25" s="123">
        <f>IF(O25="",0,N25*VLOOKUP(O25,Tablas!$B$6:$D$26,3,FALSE))</f>
        <v>0.2</v>
      </c>
      <c r="S25" s="114">
        <v>1</v>
      </c>
      <c r="T25" s="380" t="s">
        <v>7</v>
      </c>
      <c r="U25" s="28">
        <f>IF(T25="",0,S25*VLOOKUP(T25,Tablas!$B$6:$D$26,2,FALSE))</f>
        <v>0.3</v>
      </c>
      <c r="V25" s="123">
        <f>IF(T25="",0,S25*VLOOKUP(T25,Tablas!$B$6:$D$26,3,FALSE))</f>
        <v>0.2</v>
      </c>
      <c r="X25" s="114">
        <v>1</v>
      </c>
      <c r="Y25" s="380" t="s">
        <v>7</v>
      </c>
      <c r="Z25" s="28">
        <f>IF(Y25="",0,X25*VLOOKUP(Y25,Tablas!$B$6:$D$26,2,FALSE))</f>
        <v>0.3</v>
      </c>
      <c r="AA25" s="123">
        <f>IF(Y25="",0,X25*VLOOKUP(Y25,Tablas!$B$6:$D$26,3,FALSE))</f>
        <v>0.2</v>
      </c>
    </row>
    <row r="26" spans="3:27" s="80" customFormat="1" x14ac:dyDescent="0.25">
      <c r="C26" s="114"/>
      <c r="D26" s="380"/>
      <c r="E26" s="28">
        <f>IF(D26="",0,C26*VLOOKUP(D26,Tablas!$B$6:$D$26,2,FALSE))</f>
        <v>0</v>
      </c>
      <c r="F26" s="123">
        <f>IF(D26="",0,C26*VLOOKUP(D26,Tablas!$B$6:$D$26,3,FALSE))</f>
        <v>0</v>
      </c>
      <c r="I26" s="114"/>
      <c r="J26" s="380"/>
      <c r="K26" s="28">
        <f>IF(J26="",0,I26*VLOOKUP(J26,Tablas!$B$6:$D$26,2,FALSE))</f>
        <v>0</v>
      </c>
      <c r="L26" s="123">
        <f>IF(J26="",0,I26*VLOOKUP(J26,Tablas!$B$6:$D$26,3,FALSE))</f>
        <v>0</v>
      </c>
      <c r="N26" s="114"/>
      <c r="O26" s="380"/>
      <c r="P26" s="28">
        <f>IF(O26="",0,N26*VLOOKUP(O26,Tablas!$B$6:$D$26,2,FALSE))</f>
        <v>0</v>
      </c>
      <c r="Q26" s="123">
        <f>IF(O26="",0,N26*VLOOKUP(O26,Tablas!$B$6:$D$26,3,FALSE))</f>
        <v>0</v>
      </c>
      <c r="S26" s="114"/>
      <c r="T26" s="380"/>
      <c r="U26" s="28">
        <f>IF(T26="",0,S26*VLOOKUP(T26,Tablas!$B$6:$D$26,2,FALSE))</f>
        <v>0</v>
      </c>
      <c r="V26" s="123">
        <f>IF(T26="",0,S26*VLOOKUP(T26,Tablas!$B$6:$D$26,3,FALSE))</f>
        <v>0</v>
      </c>
      <c r="X26" s="114"/>
      <c r="Y26" s="380"/>
      <c r="Z26" s="28">
        <f>IF(Y26="",0,X26*VLOOKUP(Y26,Tablas!$B$6:$D$26,2,FALSE))</f>
        <v>0</v>
      </c>
      <c r="AA26" s="123">
        <f>IF(Y26="",0,X26*VLOOKUP(Y26,Tablas!$B$6:$D$26,3,FALSE))</f>
        <v>0</v>
      </c>
    </row>
    <row r="27" spans="3:27" s="80" customFormat="1" x14ac:dyDescent="0.25">
      <c r="C27" s="114">
        <v>1</v>
      </c>
      <c r="D27" s="380" t="s">
        <v>22</v>
      </c>
      <c r="E27" s="28">
        <f>IF(D27="",0,C27*VLOOKUP(D27,Tablas!$B$6:$D$26,2,FALSE))</f>
        <v>0.2</v>
      </c>
      <c r="F27" s="123">
        <f>IF(D27="",0,C27*VLOOKUP(D27,Tablas!$B$6:$D$26,3,FALSE))</f>
        <v>0.1</v>
      </c>
      <c r="I27" s="114">
        <v>1</v>
      </c>
      <c r="J27" s="380" t="s">
        <v>22</v>
      </c>
      <c r="K27" s="28">
        <f>IF(J27="",0,I27*VLOOKUP(J27,Tablas!$B$6:$D$26,2,FALSE))</f>
        <v>0.2</v>
      </c>
      <c r="L27" s="123">
        <f>IF(J27="",0,I27*VLOOKUP(J27,Tablas!$B$6:$D$26,3,FALSE))</f>
        <v>0.1</v>
      </c>
      <c r="N27" s="114">
        <v>1</v>
      </c>
      <c r="O27" s="380" t="s">
        <v>22</v>
      </c>
      <c r="P27" s="28">
        <f>IF(O27="",0,N27*VLOOKUP(O27,Tablas!$B$6:$D$26,2,FALSE))</f>
        <v>0.2</v>
      </c>
      <c r="Q27" s="123">
        <f>IF(O27="",0,N27*VLOOKUP(O27,Tablas!$B$6:$D$26,3,FALSE))</f>
        <v>0.1</v>
      </c>
      <c r="S27" s="114">
        <v>1</v>
      </c>
      <c r="T27" s="380" t="s">
        <v>22</v>
      </c>
      <c r="U27" s="28">
        <f>IF(T27="",0,S27*VLOOKUP(T27,Tablas!$B$6:$D$26,2,FALSE))</f>
        <v>0.2</v>
      </c>
      <c r="V27" s="123">
        <f>IF(T27="",0,S27*VLOOKUP(T27,Tablas!$B$6:$D$26,3,FALSE))</f>
        <v>0.1</v>
      </c>
      <c r="X27" s="114">
        <v>1</v>
      </c>
      <c r="Y27" s="380" t="s">
        <v>22</v>
      </c>
      <c r="Z27" s="28">
        <f>IF(Y27="",0,X27*VLOOKUP(Y27,Tablas!$B$6:$D$26,2,FALSE))</f>
        <v>0.2</v>
      </c>
      <c r="AA27" s="123">
        <f>IF(Y27="",0,X27*VLOOKUP(Y27,Tablas!$B$6:$D$26,3,FALSE))</f>
        <v>0.1</v>
      </c>
    </row>
    <row r="28" spans="3:27" s="80" customFormat="1" x14ac:dyDescent="0.25">
      <c r="C28" s="114">
        <v>1</v>
      </c>
      <c r="D28" s="380" t="s">
        <v>23</v>
      </c>
      <c r="E28" s="28">
        <f>IF(D28="",0,C28*VLOOKUP(D28,Tablas!$B$6:$D$26,2,FALSE))</f>
        <v>0.15</v>
      </c>
      <c r="F28" s="123">
        <f>IF(D28="",0,C28*VLOOKUP(D28,Tablas!$B$6:$D$26,3,FALSE))</f>
        <v>0.1</v>
      </c>
      <c r="I28" s="114">
        <v>1</v>
      </c>
      <c r="J28" s="380" t="s">
        <v>23</v>
      </c>
      <c r="K28" s="28">
        <f>IF(J28="",0,I28*VLOOKUP(J28,Tablas!$B$6:$D$26,2,FALSE))</f>
        <v>0.15</v>
      </c>
      <c r="L28" s="123">
        <f>IF(J28="",0,I28*VLOOKUP(J28,Tablas!$B$6:$D$26,3,FALSE))</f>
        <v>0.1</v>
      </c>
      <c r="N28" s="114">
        <v>1</v>
      </c>
      <c r="O28" s="380" t="s">
        <v>23</v>
      </c>
      <c r="P28" s="28">
        <f>IF(O28="",0,N28*VLOOKUP(O28,Tablas!$B$6:$D$26,2,FALSE))</f>
        <v>0.15</v>
      </c>
      <c r="Q28" s="123">
        <f>IF(O28="",0,N28*VLOOKUP(O28,Tablas!$B$6:$D$26,3,FALSE))</f>
        <v>0.1</v>
      </c>
      <c r="S28" s="114">
        <v>1</v>
      </c>
      <c r="T28" s="380" t="s">
        <v>23</v>
      </c>
      <c r="U28" s="28">
        <f>IF(T28="",0,S28*VLOOKUP(T28,Tablas!$B$6:$D$26,2,FALSE))</f>
        <v>0.15</v>
      </c>
      <c r="V28" s="123">
        <f>IF(T28="",0,S28*VLOOKUP(T28,Tablas!$B$6:$D$26,3,FALSE))</f>
        <v>0.1</v>
      </c>
      <c r="X28" s="114">
        <v>1</v>
      </c>
      <c r="Y28" s="380" t="s">
        <v>23</v>
      </c>
      <c r="Z28" s="28">
        <f>IF(Y28="",0,X28*VLOOKUP(Y28,Tablas!$B$6:$D$26,2,FALSE))</f>
        <v>0.15</v>
      </c>
      <c r="AA28" s="123">
        <f>IF(Y28="",0,X28*VLOOKUP(Y28,Tablas!$B$6:$D$26,3,FALSE))</f>
        <v>0.1</v>
      </c>
    </row>
    <row r="29" spans="3:27" s="80" customFormat="1" x14ac:dyDescent="0.25">
      <c r="C29" s="115">
        <v>1</v>
      </c>
      <c r="D29" s="380" t="s">
        <v>17</v>
      </c>
      <c r="E29" s="28">
        <f>IF(D29="",0,C29*VLOOKUP(D29,Tablas!$B$6:$D$26,2,FALSE))</f>
        <v>0.2</v>
      </c>
      <c r="F29" s="123">
        <f>IF(D29="",0,C29*VLOOKUP(D29,Tablas!$B$6:$D$26,3,FALSE))</f>
        <v>0.15</v>
      </c>
      <c r="I29" s="115">
        <v>1</v>
      </c>
      <c r="J29" s="380" t="s">
        <v>17</v>
      </c>
      <c r="K29" s="28">
        <f>IF(J29="",0,I29*VLOOKUP(J29,Tablas!$B$6:$D$26,2,FALSE))</f>
        <v>0.2</v>
      </c>
      <c r="L29" s="123">
        <f>IF(J29="",0,I29*VLOOKUP(J29,Tablas!$B$6:$D$26,3,FALSE))</f>
        <v>0.15</v>
      </c>
      <c r="N29" s="115">
        <v>1</v>
      </c>
      <c r="O29" s="380" t="s">
        <v>17</v>
      </c>
      <c r="P29" s="28">
        <f>IF(O29="",0,N29*VLOOKUP(O29,Tablas!$B$6:$D$26,2,FALSE))</f>
        <v>0.2</v>
      </c>
      <c r="Q29" s="123">
        <f>IF(O29="",0,N29*VLOOKUP(O29,Tablas!$B$6:$D$26,3,FALSE))</f>
        <v>0.15</v>
      </c>
      <c r="S29" s="115">
        <v>1</v>
      </c>
      <c r="T29" s="380" t="s">
        <v>17</v>
      </c>
      <c r="U29" s="28">
        <f>IF(T29="",0,S29*VLOOKUP(T29,Tablas!$B$6:$D$26,2,FALSE))</f>
        <v>0.2</v>
      </c>
      <c r="V29" s="123">
        <f>IF(T29="",0,S29*VLOOKUP(T29,Tablas!$B$6:$D$26,3,FALSE))</f>
        <v>0.15</v>
      </c>
      <c r="X29" s="115">
        <v>1</v>
      </c>
      <c r="Y29" s="380" t="s">
        <v>17</v>
      </c>
      <c r="Z29" s="28">
        <f>IF(Y29="",0,X29*VLOOKUP(Y29,Tablas!$B$6:$D$26,2,FALSE))</f>
        <v>0.2</v>
      </c>
      <c r="AA29" s="123">
        <f>IF(Y29="",0,X29*VLOOKUP(Y29,Tablas!$B$6:$D$26,3,FALSE))</f>
        <v>0.15</v>
      </c>
    </row>
    <row r="30" spans="3:27" s="80" customFormat="1" x14ac:dyDescent="0.25">
      <c r="C30" s="115">
        <v>0</v>
      </c>
      <c r="D30" s="380" t="s">
        <v>31</v>
      </c>
      <c r="E30" s="28">
        <f>IF(D30="",0,C30*VLOOKUP(D30,Tablas!$B$6:$D$26,2,FALSE))</f>
        <v>0</v>
      </c>
      <c r="F30" s="123">
        <f>IF(D30="",0,C30*VLOOKUP(D30,Tablas!$B$6:$D$26,3,FALSE))</f>
        <v>0</v>
      </c>
      <c r="I30" s="115">
        <v>0</v>
      </c>
      <c r="J30" s="380" t="s">
        <v>31</v>
      </c>
      <c r="K30" s="28">
        <f>IF(J30="",0,I30*VLOOKUP(J30,Tablas!$B$6:$D$26,2,FALSE))</f>
        <v>0</v>
      </c>
      <c r="L30" s="123">
        <f>IF(J30="",0,I30*VLOOKUP(J30,Tablas!$B$6:$D$26,3,FALSE))</f>
        <v>0</v>
      </c>
      <c r="N30" s="115">
        <v>0</v>
      </c>
      <c r="O30" s="380" t="s">
        <v>31</v>
      </c>
      <c r="P30" s="28">
        <f>IF(O30="",0,N30*VLOOKUP(O30,Tablas!$B$6:$D$26,2,FALSE))</f>
        <v>0</v>
      </c>
      <c r="Q30" s="123">
        <f>IF(O30="",0,N30*VLOOKUP(O30,Tablas!$B$6:$D$26,3,FALSE))</f>
        <v>0</v>
      </c>
      <c r="S30" s="115">
        <v>0</v>
      </c>
      <c r="T30" s="380" t="s">
        <v>31</v>
      </c>
      <c r="U30" s="28">
        <f>IF(T30="",0,S30*VLOOKUP(T30,Tablas!$B$6:$D$26,2,FALSE))</f>
        <v>0</v>
      </c>
      <c r="V30" s="123">
        <f>IF(T30="",0,S30*VLOOKUP(T30,Tablas!$B$6:$D$26,3,FALSE))</f>
        <v>0</v>
      </c>
      <c r="X30" s="115">
        <v>0</v>
      </c>
      <c r="Y30" s="380" t="s">
        <v>31</v>
      </c>
      <c r="Z30" s="28">
        <f>IF(Y30="",0,X30*VLOOKUP(Y30,Tablas!$B$6:$D$26,2,FALSE))</f>
        <v>0</v>
      </c>
      <c r="AA30" s="123">
        <f>IF(Y30="",0,X30*VLOOKUP(Y30,Tablas!$B$6:$D$26,3,FALSE))</f>
        <v>0</v>
      </c>
    </row>
    <row r="31" spans="3:27" s="80" customFormat="1" ht="15.75" thickBot="1" x14ac:dyDescent="0.3">
      <c r="C31" s="116"/>
      <c r="D31" s="372"/>
      <c r="E31" s="124">
        <f>IF(D31="",0,C31*VLOOKUP(D31,Tablas!$B$6:$D$26,2,FALSE))</f>
        <v>0</v>
      </c>
      <c r="F31" s="125">
        <f>IF(D31="",0,C31*VLOOKUP(D31,Tablas!$B$6:$D$26,3,FALSE))</f>
        <v>0</v>
      </c>
      <c r="I31" s="116"/>
      <c r="J31" s="372"/>
      <c r="K31" s="124">
        <f>IF(J31="",0,I31*VLOOKUP(J31,Tablas!$B$6:$D$26,2,FALSE))</f>
        <v>0</v>
      </c>
      <c r="L31" s="125">
        <f>IF(J31="",0,I31*VLOOKUP(J31,Tablas!$B$6:$D$26,3,FALSE))</f>
        <v>0</v>
      </c>
      <c r="N31" s="116"/>
      <c r="O31" s="381"/>
      <c r="P31" s="124">
        <f>IF(O31="",0,N31*VLOOKUP(O31,Tablas!$B$6:$D$26,2,FALSE))</f>
        <v>0</v>
      </c>
      <c r="Q31" s="125">
        <f>IF(O31="",0,N31*VLOOKUP(O31,Tablas!$B$6:$D$26,3,FALSE))</f>
        <v>0</v>
      </c>
      <c r="S31" s="116"/>
      <c r="T31" s="381"/>
      <c r="U31" s="124">
        <f>IF(T31="",0,S31*VLOOKUP(T31,Tablas!$B$6:$D$26,2,FALSE))</f>
        <v>0</v>
      </c>
      <c r="V31" s="125">
        <f>IF(T31="",0,S31*VLOOKUP(T31,Tablas!$B$6:$D$26,3,FALSE))</f>
        <v>0</v>
      </c>
      <c r="X31" s="116"/>
      <c r="Y31" s="381"/>
      <c r="Z31" s="124">
        <f>IF(Y31="",0,X31*VLOOKUP(Y31,Tablas!$B$6:$D$26,2,FALSE))</f>
        <v>0</v>
      </c>
      <c r="AA31" s="125">
        <f>IF(Y31="",0,X31*VLOOKUP(Y31,Tablas!$B$6:$D$26,3,FALSE))</f>
        <v>0</v>
      </c>
    </row>
    <row r="32" spans="3:27" s="80" customFormat="1" ht="5.0999999999999996" customHeight="1" x14ac:dyDescent="0.25"/>
    <row r="33" spans="3:27" s="80" customFormat="1" ht="15.75" hidden="1" customHeight="1" thickBot="1" x14ac:dyDescent="0.3">
      <c r="C33" s="83"/>
      <c r="D33" s="108"/>
      <c r="E33" s="109">
        <f>SUM(E21:E31)</f>
        <v>1.65</v>
      </c>
      <c r="F33" s="110">
        <f>SUM(F21:F31)</f>
        <v>0.91</v>
      </c>
      <c r="G33" s="83" t="s">
        <v>24</v>
      </c>
      <c r="I33" s="83"/>
      <c r="J33" s="108"/>
      <c r="K33" s="109">
        <f>SUM(K21:K31)</f>
        <v>1.8499999999999999</v>
      </c>
      <c r="L33" s="110">
        <f>SUM(L21:L31)</f>
        <v>1.01</v>
      </c>
      <c r="N33" s="83"/>
      <c r="O33" s="108"/>
      <c r="P33" s="109">
        <f>SUM(P21:P31)</f>
        <v>1.8499999999999999</v>
      </c>
      <c r="Q33" s="110">
        <f>SUM(Q21:Q31)</f>
        <v>0.97499999999999998</v>
      </c>
      <c r="S33" s="83"/>
      <c r="T33" s="108"/>
      <c r="U33" s="109">
        <f>SUM(U21:U31)</f>
        <v>2.15</v>
      </c>
      <c r="V33" s="110">
        <f>SUM(V21:V31)</f>
        <v>1.1399999999999999</v>
      </c>
      <c r="X33" s="83"/>
      <c r="Y33" s="108"/>
      <c r="Z33" s="109">
        <f>SUM(Z21:Z31)</f>
        <v>1.1500000000000001</v>
      </c>
      <c r="AA33" s="110">
        <f>SUM(AA21:AA31)</f>
        <v>0.68</v>
      </c>
    </row>
    <row r="34" spans="3:27" s="80" customFormat="1" ht="15" hidden="1" customHeight="1" x14ac:dyDescent="0.25">
      <c r="E34" s="111">
        <f>E33*3600</f>
        <v>5940</v>
      </c>
      <c r="F34" s="111">
        <f>F33*3600</f>
        <v>3276</v>
      </c>
      <c r="G34" s="83" t="s">
        <v>26</v>
      </c>
      <c r="K34" s="111">
        <f>K33*3600</f>
        <v>6659.9999999999991</v>
      </c>
      <c r="L34" s="111">
        <f>L33*3600</f>
        <v>3636</v>
      </c>
      <c r="P34" s="111">
        <f>P33*3600</f>
        <v>6659.9999999999991</v>
      </c>
      <c r="Q34" s="111">
        <f>Q33*3600</f>
        <v>3510</v>
      </c>
      <c r="U34" s="111">
        <f>U33*3600</f>
        <v>7740</v>
      </c>
      <c r="V34" s="111">
        <f>V33*3600</f>
        <v>4104</v>
      </c>
      <c r="Z34" s="111">
        <f>Z33*3600</f>
        <v>4140.0000000000009</v>
      </c>
      <c r="AA34" s="111">
        <f>AA33*3600</f>
        <v>2448</v>
      </c>
    </row>
    <row r="35" spans="3:27" s="80" customFormat="1" ht="15.75" hidden="1" customHeight="1" thickBot="1" x14ac:dyDescent="0.25">
      <c r="E35" s="112">
        <f>E34/1000</f>
        <v>5.94</v>
      </c>
      <c r="F35" s="112">
        <f>F34/1000</f>
        <v>3.2759999999999998</v>
      </c>
      <c r="G35" s="83" t="s">
        <v>25</v>
      </c>
      <c r="K35" s="112">
        <f>K34/1000</f>
        <v>6.6599999999999993</v>
      </c>
      <c r="L35" s="112">
        <f>L34/1000</f>
        <v>3.6360000000000001</v>
      </c>
      <c r="P35" s="112">
        <f>P34/1000</f>
        <v>6.6599999999999993</v>
      </c>
      <c r="Q35" s="112">
        <f>Q34/1000</f>
        <v>3.51</v>
      </c>
      <c r="U35" s="112">
        <f>U34/1000</f>
        <v>7.74</v>
      </c>
      <c r="V35" s="112">
        <f>V34/1000</f>
        <v>4.1040000000000001</v>
      </c>
      <c r="Z35" s="112">
        <f>Z34/1000</f>
        <v>4.1400000000000006</v>
      </c>
      <c r="AA35" s="112">
        <f>AA34/1000</f>
        <v>2.448</v>
      </c>
    </row>
    <row r="36" spans="3:27" s="80" customFormat="1" x14ac:dyDescent="0.25">
      <c r="C36" s="103" t="s">
        <v>76</v>
      </c>
      <c r="D36" s="118">
        <v>1</v>
      </c>
      <c r="E36" s="119">
        <f>E33*D36</f>
        <v>1.65</v>
      </c>
      <c r="F36" s="120">
        <f>F33*D36</f>
        <v>0.91</v>
      </c>
      <c r="G36" s="83" t="s">
        <v>24</v>
      </c>
      <c r="I36" s="103" t="s">
        <v>76</v>
      </c>
      <c r="J36" s="118">
        <v>1</v>
      </c>
      <c r="K36" s="119">
        <f>K33*J36</f>
        <v>1.8499999999999999</v>
      </c>
      <c r="L36" s="120">
        <f>L33*J36</f>
        <v>1.01</v>
      </c>
      <c r="N36" s="103" t="s">
        <v>76</v>
      </c>
      <c r="O36" s="118">
        <v>1</v>
      </c>
      <c r="P36" s="119">
        <f>P33*O36</f>
        <v>1.8499999999999999</v>
      </c>
      <c r="Q36" s="120">
        <f>Q33*O36</f>
        <v>0.97499999999999998</v>
      </c>
      <c r="S36" s="103" t="s">
        <v>76</v>
      </c>
      <c r="T36" s="118">
        <v>1</v>
      </c>
      <c r="U36" s="119">
        <f>U33*T36</f>
        <v>2.15</v>
      </c>
      <c r="V36" s="120">
        <f>V33*T36</f>
        <v>1.1399999999999999</v>
      </c>
      <c r="X36" s="103" t="s">
        <v>76</v>
      </c>
      <c r="Y36" s="118">
        <v>1</v>
      </c>
      <c r="Z36" s="119">
        <f>Z33*Y36</f>
        <v>1.1500000000000001</v>
      </c>
      <c r="AA36" s="120">
        <f>AA33*Y36</f>
        <v>0.68</v>
      </c>
    </row>
    <row r="37" spans="3:27" s="80" customFormat="1" x14ac:dyDescent="0.25">
      <c r="C37" s="440" t="s">
        <v>250</v>
      </c>
      <c r="D37" s="440"/>
      <c r="E37" s="100">
        <v>0</v>
      </c>
      <c r="F37" s="100">
        <v>0</v>
      </c>
      <c r="G37" s="83"/>
      <c r="I37" s="440" t="s">
        <v>250</v>
      </c>
      <c r="J37" s="440"/>
      <c r="K37" s="100">
        <v>0</v>
      </c>
      <c r="L37" s="100">
        <v>0</v>
      </c>
      <c r="N37" s="440" t="s">
        <v>250</v>
      </c>
      <c r="O37" s="440"/>
      <c r="P37" s="100">
        <v>0</v>
      </c>
      <c r="Q37" s="100">
        <v>0</v>
      </c>
      <c r="S37" s="440" t="s">
        <v>250</v>
      </c>
      <c r="T37" s="440"/>
      <c r="U37" s="100">
        <v>0</v>
      </c>
      <c r="V37" s="100">
        <v>0</v>
      </c>
      <c r="X37" s="440" t="s">
        <v>250</v>
      </c>
      <c r="Y37" s="440"/>
      <c r="Z37" s="100">
        <v>0</v>
      </c>
      <c r="AA37" s="100">
        <v>0</v>
      </c>
    </row>
    <row r="38" spans="3:27" s="80" customFormat="1" x14ac:dyDescent="0.25"/>
    <row r="39" spans="3:27" s="80" customFormat="1" x14ac:dyDescent="0.25">
      <c r="C39" s="440" t="s">
        <v>251</v>
      </c>
      <c r="D39" s="440"/>
      <c r="E39" s="77">
        <f>Tablas!$I$37</f>
        <v>0.43295885873336687</v>
      </c>
      <c r="F39" s="79">
        <f>Tablas!$H$37</f>
        <v>0.56446334391819575</v>
      </c>
      <c r="I39" s="440" t="s">
        <v>251</v>
      </c>
      <c r="J39" s="440"/>
      <c r="K39" s="77">
        <f>Tablas!$I$37</f>
        <v>0.43295885873336687</v>
      </c>
      <c r="L39" s="79">
        <f>Tablas!$H$37</f>
        <v>0.56446334391819575</v>
      </c>
      <c r="N39" s="440" t="s">
        <v>251</v>
      </c>
      <c r="O39" s="440"/>
      <c r="P39" s="77">
        <f>Tablas!$I$37</f>
        <v>0.43295885873336687</v>
      </c>
      <c r="Q39" s="79">
        <f>Tablas!$H$37</f>
        <v>0.56446334391819575</v>
      </c>
      <c r="S39" s="440" t="s">
        <v>251</v>
      </c>
      <c r="T39" s="440"/>
      <c r="U39" s="77">
        <f>Tablas!$I$37</f>
        <v>0.43295885873336687</v>
      </c>
      <c r="V39" s="79">
        <f>Tablas!$H$37</f>
        <v>0.56446334391819575</v>
      </c>
      <c r="X39" s="440" t="s">
        <v>251</v>
      </c>
      <c r="Y39" s="440"/>
      <c r="Z39" s="77">
        <f>Tablas!$I$37</f>
        <v>0.43295885873336687</v>
      </c>
      <c r="AA39" s="79">
        <f>Tablas!$H$37</f>
        <v>0.56446334391819575</v>
      </c>
    </row>
    <row r="40" spans="3:27" s="80" customFormat="1" x14ac:dyDescent="0.25">
      <c r="C40" s="440" t="s">
        <v>252</v>
      </c>
      <c r="D40" s="440"/>
      <c r="E40" s="77">
        <f>F40</f>
        <v>1</v>
      </c>
      <c r="F40" s="79">
        <f>IF($D$10="UNE 149.201/07",1,MAX(0.2,(19+D32)/(10*(D32+1))))</f>
        <v>1</v>
      </c>
      <c r="I40" s="440" t="s">
        <v>252</v>
      </c>
      <c r="J40" s="440"/>
      <c r="K40" s="77">
        <f>L40</f>
        <v>1</v>
      </c>
      <c r="L40" s="79">
        <f>IF($D$10="UNE 149.201/07",1,MAX(0.2,(19+J32)/(10*(J32+1))))</f>
        <v>1</v>
      </c>
      <c r="N40" s="440" t="s">
        <v>252</v>
      </c>
      <c r="O40" s="440"/>
      <c r="P40" s="77">
        <f>Q40</f>
        <v>1</v>
      </c>
      <c r="Q40" s="79">
        <f>IF($D$10="UNE 149.201/07",1,MAX(0.2,(19+O32)/(10*(O32+1))))</f>
        <v>1</v>
      </c>
      <c r="S40" s="440" t="s">
        <v>252</v>
      </c>
      <c r="T40" s="440"/>
      <c r="U40" s="77">
        <f>V40</f>
        <v>1</v>
      </c>
      <c r="V40" s="79">
        <f>IF($D$10="UNE 149.201/07",1,MAX(0.2,(19+T32)/(10*(T32+1))))</f>
        <v>1</v>
      </c>
      <c r="X40" s="440" t="s">
        <v>252</v>
      </c>
      <c r="Y40" s="440"/>
      <c r="Z40" s="77">
        <f>AA40</f>
        <v>1</v>
      </c>
      <c r="AA40" s="79">
        <f>IF($D$10="UNE 149.201/07",1,MAX(0.2,(19+Y32)/(10*(Y32+1))))</f>
        <v>1</v>
      </c>
    </row>
    <row r="41" spans="3:27" s="80" customFormat="1" ht="15.75" customHeight="1" thickBot="1" x14ac:dyDescent="0.3"/>
    <row r="42" spans="3:27" s="80" customFormat="1" ht="15.75" customHeight="1" thickBot="1" x14ac:dyDescent="0.3">
      <c r="D42" s="136" t="s">
        <v>262</v>
      </c>
      <c r="E42" s="130">
        <f>E36*E39*E40</f>
        <v>0.71438211691005526</v>
      </c>
      <c r="F42" s="131">
        <f>F36*F39*F40</f>
        <v>0.51366164296555816</v>
      </c>
      <c r="G42" s="83" t="s">
        <v>24</v>
      </c>
      <c r="J42" s="136" t="s">
        <v>262</v>
      </c>
      <c r="K42" s="130">
        <f>K36*K39*K40</f>
        <v>0.80097388865672869</v>
      </c>
      <c r="L42" s="131">
        <f>L36*L39*L40</f>
        <v>0.57010797735737773</v>
      </c>
      <c r="O42" s="136" t="s">
        <v>262</v>
      </c>
      <c r="P42" s="130">
        <f>P36*P39*P40</f>
        <v>0.80097388865672869</v>
      </c>
      <c r="Q42" s="131">
        <f>Q36*Q39*Q40</f>
        <v>0.5503517603202408</v>
      </c>
      <c r="T42" s="136" t="s">
        <v>262</v>
      </c>
      <c r="U42" s="130">
        <f>U36*U39*U40</f>
        <v>0.93086154627673878</v>
      </c>
      <c r="V42" s="131">
        <f>V36*V39*V40</f>
        <v>0.64348821206674311</v>
      </c>
      <c r="Y42" s="136" t="s">
        <v>262</v>
      </c>
      <c r="Z42" s="130">
        <f>Z36*Z39*Z40</f>
        <v>0.49790268754337197</v>
      </c>
      <c r="AA42" s="131">
        <f>AA36*AA39*AA40</f>
        <v>0.38383507386437316</v>
      </c>
    </row>
    <row r="43" spans="3:27" s="80" customFormat="1" ht="5.0999999999999996" customHeight="1" x14ac:dyDescent="0.25"/>
    <row r="44" spans="3:27" s="80" customFormat="1" ht="15.75" customHeight="1" x14ac:dyDescent="0.25">
      <c r="D44" s="103" t="s">
        <v>263</v>
      </c>
      <c r="E44" s="77">
        <f>(4000*E42/(3.1416*$D$11))^0.5</f>
        <v>17.412423096875365</v>
      </c>
      <c r="F44" s="79">
        <f>(4000*F42/(3.1416*$D$11))^0.5</f>
        <v>14.764967401149173</v>
      </c>
      <c r="J44" s="103" t="s">
        <v>263</v>
      </c>
      <c r="K44" s="77">
        <f>(4000*K42/(3.1416*$D$11))^0.5</f>
        <v>18.437545430756686</v>
      </c>
      <c r="L44" s="79">
        <f>(4000*L42/(3.1416*$D$11))^0.5</f>
        <v>15.555088386245854</v>
      </c>
      <c r="O44" s="103" t="s">
        <v>263</v>
      </c>
      <c r="P44" s="77">
        <f>(4000*P42/(3.1416*$D$11))^0.5</f>
        <v>18.437545430756686</v>
      </c>
      <c r="Q44" s="79">
        <f>(4000*Q42/(3.1416*$D$11))^0.5</f>
        <v>15.283193232518446</v>
      </c>
      <c r="T44" s="103" t="s">
        <v>263</v>
      </c>
      <c r="U44" s="77">
        <f>(4000*U42/(3.1416*$D$11))^0.5</f>
        <v>19.8763423853873</v>
      </c>
      <c r="V44" s="79">
        <f>(4000*V42/(3.1416*$D$11))^0.5</f>
        <v>16.525865809539912</v>
      </c>
      <c r="Y44" s="103" t="s">
        <v>263</v>
      </c>
      <c r="Z44" s="77">
        <f>(4000*Z42/(3.1416*$D$11))^0.5</f>
        <v>14.536711099421824</v>
      </c>
      <c r="AA44" s="79">
        <f>(4000*AA42/(3.1416*$D$11))^0.5</f>
        <v>12.763396254879627</v>
      </c>
    </row>
    <row r="45" spans="3:27" s="80" customFormat="1" ht="5.0999999999999996" customHeight="1" thickBot="1" x14ac:dyDescent="0.3"/>
    <row r="46" spans="3:27" s="80" customFormat="1" ht="15.75" customHeight="1" thickBot="1" x14ac:dyDescent="0.3">
      <c r="C46" s="133" t="str">
        <f>IF($D$12=Tablas!$B$87,"Cobre","Termoplastico")</f>
        <v>Termoplastico</v>
      </c>
      <c r="D46" s="132" t="s">
        <v>89</v>
      </c>
      <c r="E46" s="134">
        <f>IF($C$46="Cobre",INDEX(Tablas!$B$137:$B$146,MATCH(E44,Tablas!$C$137:$C$146,1)+1,1),INDEX(Tablas!$S$98:$S$111,MATCH(E44,Tablas!$R$98:$R$111,1)+1,1))</f>
        <v>25</v>
      </c>
      <c r="F46" s="139">
        <f>IF($C$46="Cobre",INDEX(Tablas!$B$137:$B$146,MATCH(F44,Tablas!$C$137:$C$146,1)+1,1),INDEX(Tablas!$S$98:$S$111,MATCH(F44,Tablas!$R$98:$R$111,1)+1,1))</f>
        <v>20</v>
      </c>
      <c r="I46" s="133" t="str">
        <f>IF($D$12=Tablas!$B$87,"Cobre","Termoplastico")</f>
        <v>Termoplastico</v>
      </c>
      <c r="J46" s="132" t="s">
        <v>89</v>
      </c>
      <c r="K46" s="134">
        <f>IF($I$46="Cobre",INDEX(Tablas!$B$137:$B$146,MATCH(K44,Tablas!$C$137:$C$146,1)+1,1),INDEX(Tablas!$S$98:$S$111,MATCH(K44,Tablas!$R$98:$R$111,1)+1,1))</f>
        <v>25</v>
      </c>
      <c r="L46" s="139">
        <f>IF($I$46="Cobre",INDEX(Tablas!$B$137:$B$146,MATCH(L44,Tablas!$C$137:$C$146,1)+1,1),INDEX(Tablas!$S$98:$S$111,MATCH(L44,Tablas!$R$98:$R$111,1)+1,1))</f>
        <v>20</v>
      </c>
      <c r="N46" s="133" t="str">
        <f>IF($D$12=Tablas!$B$87,"Cobre","Termoplastico")</f>
        <v>Termoplastico</v>
      </c>
      <c r="O46" s="132" t="s">
        <v>89</v>
      </c>
      <c r="P46" s="134">
        <f>IF($N$46="Cobre",INDEX(Tablas!$B$137:$B$146,MATCH(P44,Tablas!$C$137:$C$146,1)+1,1),INDEX(Tablas!$S$98:$S$111,MATCH(P44,Tablas!$R$98:$R$111,1)+1,1))</f>
        <v>25</v>
      </c>
      <c r="Q46" s="139">
        <f>IF($N$46="Cobre",INDEX(Tablas!$B$137:$B$146,MATCH(Q44,Tablas!$C$137:$C$146,1)+1,1),INDEX(Tablas!$S$98:$S$111,MATCH(Q44,Tablas!$R$98:$R$111,1)+1,1))</f>
        <v>20</v>
      </c>
      <c r="S46" s="133" t="str">
        <f>IF($D$12=Tablas!$B$87,"Cobre","Termoplastico")</f>
        <v>Termoplastico</v>
      </c>
      <c r="T46" s="132" t="s">
        <v>89</v>
      </c>
      <c r="U46" s="134">
        <f>IF($S$46="Cobre",INDEX(Tablas!$B$137:$B$146,MATCH(U44,Tablas!$C$137:$C$146,1)+1,1),INDEX(Tablas!$S$98:$S$111,MATCH(U44,Tablas!$R$98:$R$111,1)+1,1))</f>
        <v>25</v>
      </c>
      <c r="V46" s="139">
        <f>IF($S$46="Cobre",INDEX(Tablas!$B$137:$B$146,MATCH(V44,Tablas!$C$137:$C$146,1)+1,1),INDEX(Tablas!$S$98:$S$111,MATCH(V44,Tablas!$R$98:$R$111,1)+1,1))</f>
        <v>25</v>
      </c>
      <c r="X46" s="133" t="str">
        <f>IF($D$12=Tablas!$B$87,"Cobre","Termoplastico")</f>
        <v>Termoplastico</v>
      </c>
      <c r="Y46" s="132" t="s">
        <v>89</v>
      </c>
      <c r="Z46" s="134">
        <f>IF($X$46="Cobre",INDEX(Tablas!$B$137:$B$146,MATCH(Z44,Tablas!$C$137:$C$146,1)+1,1),INDEX(Tablas!$S$98:$S$111,MATCH(Z44,Tablas!$R$98:$R$111,1)+1,1))</f>
        <v>20</v>
      </c>
      <c r="AA46" s="139">
        <f>IF($X$46="Cobre",INDEX(Tablas!$B$137:$B$146,MATCH(AA44,Tablas!$C$137:$C$146,1)+1,1),INDEX(Tablas!$S$98:$S$111,MATCH(AA44,Tablas!$R$98:$R$111,1)+1,1))</f>
        <v>16</v>
      </c>
    </row>
    <row r="47" spans="3:27" s="80" customFormat="1" ht="15.75" customHeight="1" x14ac:dyDescent="0.25">
      <c r="C47" s="82" t="str">
        <f>IF(C46&lt;&gt;Tablas!$B$87,"",IF(F48&gt;2,"Velocidad excesiva",""))</f>
        <v/>
      </c>
      <c r="D47" s="135" t="s">
        <v>105</v>
      </c>
      <c r="E47" s="28">
        <f>IF($C$46="Cobre",VLOOKUP($E$46,Tablas!$B$137:$C$146,2,FALSE),INDEX(Tablas!$R$98:$R$111,MATCH(E44,Tablas!$R$98:$R$111,1)+1,1))</f>
        <v>20.5</v>
      </c>
      <c r="F47" s="29">
        <f>IF($C$46="Cobre",VLOOKUP($F$46,Tablas!$B$137:$C$146,2,FALSE),INDEX(Tablas!$R$98:$R$111,MATCH(F44,Tablas!$R$98:$R$111,1)+1,1))</f>
        <v>16.399999999999999</v>
      </c>
      <c r="I47" s="82" t="str">
        <f>IF(I46&lt;&gt;Tablas!$B$87,"",IF(L48&gt;2,"Velocidad excesiva",""))</f>
        <v/>
      </c>
      <c r="J47" s="135" t="s">
        <v>105</v>
      </c>
      <c r="K47" s="28">
        <f>IF($C$46="Cobre",VLOOKUP($K$46,Tablas!$B$137:$C$146,2,FALSE),INDEX(Tablas!$R$98:$R$111,MATCH(K44,Tablas!$R$98:$R$111,1)+1,1))</f>
        <v>20.5</v>
      </c>
      <c r="L47" s="29">
        <f>IF($C$46="Cobre",VLOOKUP($L$46,Tablas!$B$137:$C$146,2,FALSE),INDEX(Tablas!$R$98:$R$111,MATCH(L44,Tablas!$R$98:$R$111,1)+1,1))</f>
        <v>16.399999999999999</v>
      </c>
      <c r="N47" s="82" t="str">
        <f>IF(N46&lt;&gt;Tablas!$B$87,"",IF(Q48&gt;2,"Velocidad excesiva",""))</f>
        <v/>
      </c>
      <c r="O47" s="135" t="s">
        <v>105</v>
      </c>
      <c r="P47" s="28">
        <f>IF($C$46="Cobre",VLOOKUP($P$46,Tablas!$B$137:$C$146,2,FALSE),INDEX(Tablas!$R$98:$R$111,MATCH(P44,Tablas!$R$98:$R$111,1)+1,1))</f>
        <v>20.5</v>
      </c>
      <c r="Q47" s="29">
        <f>IF($C$46="Cobre",VLOOKUP($Q$46,Tablas!$B$137:$C$146,2,FALSE),INDEX(Tablas!$R$98:$R$111,MATCH(Q44,Tablas!$R$98:$R$111,1)+1,1))</f>
        <v>16.399999999999999</v>
      </c>
      <c r="S47" s="82" t="str">
        <f>IF(S46&lt;&gt;Tablas!$B$87,"",IF(V48&gt;2,"Velocidad excesiva",""))</f>
        <v/>
      </c>
      <c r="T47" s="135" t="s">
        <v>105</v>
      </c>
      <c r="U47" s="28">
        <f>IF($C$46="Cobre",VLOOKUP($U$46,Tablas!$B$137:$C$146,2,FALSE),INDEX(Tablas!$R$98:$R$111,MATCH(U44,Tablas!$R$98:$R$111,1)+1,1))</f>
        <v>20.5</v>
      </c>
      <c r="V47" s="29">
        <f>IF($C$46="Cobre",VLOOKUP($V$46,Tablas!$B$137:$C$146,2,FALSE),INDEX(Tablas!$R$98:$R$111,MATCH(V44,Tablas!$R$98:$R$111,1)+1,1))</f>
        <v>20.5</v>
      </c>
      <c r="X47" s="82" t="str">
        <f>IF(X46&lt;&gt;Tablas!$B$87,"",IF(AA48&gt;2,"Velocidad excesiva",""))</f>
        <v/>
      </c>
      <c r="Y47" s="135" t="s">
        <v>105</v>
      </c>
      <c r="Z47" s="28">
        <f>IF($C$46="Cobre",VLOOKUP($Z$46,Tablas!$B$137:$C$146,2,FALSE),INDEX(Tablas!$R$98:$R$111,MATCH(Z44,Tablas!$R$98:$R$111,1)+1,1))</f>
        <v>16.399999999999999</v>
      </c>
      <c r="AA47" s="29">
        <f>IF($C$46="Cobre",VLOOKUP($AA$46,Tablas!$B$137:$C$146,2,FALSE),INDEX(Tablas!$R$98:$R$111,MATCH(AA44,Tablas!$R$98:$R$111,1)+1,1))</f>
        <v>13.1</v>
      </c>
    </row>
    <row r="48" spans="3:27" s="80" customFormat="1" ht="15.75" customHeight="1" x14ac:dyDescent="0.25">
      <c r="C48" s="82" t="str">
        <f>IF(C46&lt;&gt;"Termoplastico",IF('Consumos TIPO'!F48&gt;3.5,"Velocidad excesiva",""),"")</f>
        <v/>
      </c>
      <c r="D48" s="103" t="s">
        <v>104</v>
      </c>
      <c r="E48" s="77">
        <f>4000*E42/(3.1416*E47*E47)</f>
        <v>2.1643722410798238</v>
      </c>
      <c r="F48" s="79">
        <f>4000*F42/(3.1416*F47*F47)</f>
        <v>2.4316358829230866</v>
      </c>
      <c r="I48" s="82" t="str">
        <f>IF(I46&lt;&gt;"Termoplastico",IF('Consumos TIPO'!L48&gt;3.5,"Velocidad excesiva",""),"")</f>
        <v/>
      </c>
      <c r="J48" s="103" t="s">
        <v>104</v>
      </c>
      <c r="K48" s="77">
        <f>4000*K42/(3.1416*K47*K47)</f>
        <v>2.4267203915137419</v>
      </c>
      <c r="L48" s="79">
        <f>4000*L42/(3.1416*L47*L47)</f>
        <v>2.6988486173102393</v>
      </c>
      <c r="N48" s="82" t="str">
        <f>IF(N46&lt;&gt;"Termoplastico",IF('Consumos TIPO'!Q48&gt;3.5,"Velocidad excesiva",""),"")</f>
        <v/>
      </c>
      <c r="O48" s="103" t="s">
        <v>104</v>
      </c>
      <c r="P48" s="77">
        <f>4000*P42/(3.1416*P47*P47)</f>
        <v>2.4267203915137419</v>
      </c>
      <c r="Q48" s="79">
        <f>4000*Q42/(3.1416*Q47*Q47)</f>
        <v>2.6053241602747357</v>
      </c>
      <c r="S48" s="82" t="str">
        <f>IF(S46&lt;&gt;"Termoplastico",IF('Consumos TIPO'!V48&gt;3.5,"Velocidad excesiva",""),"")</f>
        <v/>
      </c>
      <c r="T48" s="103" t="s">
        <v>104</v>
      </c>
      <c r="U48" s="77">
        <f>4000*U42/(3.1416*U47*U47)</f>
        <v>2.8202426171646189</v>
      </c>
      <c r="V48" s="79">
        <f>4000*V42/(3.1416*V47*V47)</f>
        <v>1.9495841100886635</v>
      </c>
      <c r="X48" s="82" t="str">
        <f>IF(X46&lt;&gt;"Termoplastico",IF('Consumos TIPO'!AA48&gt;3.5,"Velocidad excesiva",""),"")</f>
        <v/>
      </c>
      <c r="Y48" s="103" t="s">
        <v>104</v>
      </c>
      <c r="Z48" s="77">
        <f>4000*Z42/(3.1416*Z47*Z47)</f>
        <v>2.357034164054733</v>
      </c>
      <c r="AA48" s="79">
        <f>4000*AA42/(3.1416*AA47*AA47)</f>
        <v>2.8478110359374504</v>
      </c>
    </row>
    <row r="49" spans="5:5" s="80" customFormat="1" ht="15.75" customHeight="1" x14ac:dyDescent="0.25"/>
    <row r="50" spans="5:5" s="80" customFormat="1" ht="15.75" customHeight="1" x14ac:dyDescent="0.25"/>
    <row r="51" spans="5:5" s="80" customFormat="1" x14ac:dyDescent="0.25"/>
    <row r="52" spans="5:5" s="80" customFormat="1" x14ac:dyDescent="0.25">
      <c r="E52" s="138"/>
    </row>
    <row r="53" spans="5:5" s="80" customFormat="1" x14ac:dyDescent="0.25"/>
    <row r="54" spans="5:5" s="80" customFormat="1" x14ac:dyDescent="0.25"/>
    <row r="55" spans="5:5" s="80" customFormat="1" x14ac:dyDescent="0.25"/>
    <row r="56" spans="5:5" s="80" customFormat="1" x14ac:dyDescent="0.25"/>
    <row r="57" spans="5:5" s="80" customFormat="1" x14ac:dyDescent="0.25"/>
    <row r="58" spans="5:5" s="80" customFormat="1" x14ac:dyDescent="0.25"/>
    <row r="59" spans="5:5" s="80" customFormat="1" x14ac:dyDescent="0.25"/>
    <row r="60" spans="5:5" s="80" customFormat="1" x14ac:dyDescent="0.25"/>
    <row r="61" spans="5:5" s="80" customFormat="1" x14ac:dyDescent="0.25"/>
    <row r="62" spans="5:5" s="80" customFormat="1" x14ac:dyDescent="0.25"/>
    <row r="63" spans="5:5" s="80" customFormat="1" x14ac:dyDescent="0.25"/>
    <row r="64" spans="5:5" s="80" customFormat="1" x14ac:dyDescent="0.25"/>
    <row r="65" s="80" customFormat="1" x14ac:dyDescent="0.25"/>
    <row r="66" s="80" customFormat="1" x14ac:dyDescent="0.25"/>
    <row r="67" s="80" customFormat="1" x14ac:dyDescent="0.25"/>
    <row r="68" s="80" customFormat="1" x14ac:dyDescent="0.25"/>
    <row r="69" s="80" customFormat="1" x14ac:dyDescent="0.25"/>
    <row r="70" s="80" customFormat="1" x14ac:dyDescent="0.25"/>
    <row r="71" s="80" customFormat="1" x14ac:dyDescent="0.25"/>
    <row r="72" s="80" customFormat="1" x14ac:dyDescent="0.25"/>
    <row r="73" s="80" customFormat="1" x14ac:dyDescent="0.25"/>
    <row r="74" s="80" customFormat="1" x14ac:dyDescent="0.25"/>
    <row r="75" s="80" customFormat="1" x14ac:dyDescent="0.25"/>
    <row r="76" s="80" customFormat="1" x14ac:dyDescent="0.25"/>
    <row r="77" s="80" customFormat="1" x14ac:dyDescent="0.25"/>
    <row r="78" s="80" customFormat="1" x14ac:dyDescent="0.25"/>
    <row r="79" s="80" customFormat="1" x14ac:dyDescent="0.25"/>
    <row r="80" s="80" customFormat="1" x14ac:dyDescent="0.25"/>
    <row r="81" s="80" customFormat="1" x14ac:dyDescent="0.25"/>
    <row r="82" s="80" customFormat="1" x14ac:dyDescent="0.25"/>
    <row r="83" s="80" customFormat="1" x14ac:dyDescent="0.25"/>
    <row r="84" s="80" customFormat="1" x14ac:dyDescent="0.25"/>
    <row r="85" s="80" customFormat="1" x14ac:dyDescent="0.25"/>
    <row r="86" s="80" customFormat="1" x14ac:dyDescent="0.25"/>
    <row r="87" s="80" customFormat="1" x14ac:dyDescent="0.25"/>
    <row r="88" s="80" customFormat="1" x14ac:dyDescent="0.25"/>
    <row r="89" s="80" customFormat="1" x14ac:dyDescent="0.25"/>
    <row r="90" s="80" customFormat="1" x14ac:dyDescent="0.25"/>
    <row r="91" s="80" customFormat="1" x14ac:dyDescent="0.25"/>
    <row r="92" s="80" customFormat="1" x14ac:dyDescent="0.25"/>
    <row r="93" s="80" customFormat="1" x14ac:dyDescent="0.25"/>
    <row r="94" s="80" customFormat="1" x14ac:dyDescent="0.25"/>
    <row r="95" s="80" customFormat="1" x14ac:dyDescent="0.25"/>
    <row r="96" s="80" customFormat="1" x14ac:dyDescent="0.25"/>
    <row r="97" s="80" customFormat="1" x14ac:dyDescent="0.25"/>
    <row r="98" s="80" customFormat="1" x14ac:dyDescent="0.25"/>
    <row r="99" s="80" customFormat="1" x14ac:dyDescent="0.25"/>
    <row r="100" s="80" customFormat="1" x14ac:dyDescent="0.25"/>
    <row r="101" s="80" customFormat="1" x14ac:dyDescent="0.25"/>
    <row r="102" s="80" customFormat="1" x14ac:dyDescent="0.25"/>
    <row r="103" s="80" customFormat="1" x14ac:dyDescent="0.25"/>
    <row r="104" s="80" customFormat="1" x14ac:dyDescent="0.25"/>
    <row r="105" s="80" customFormat="1" x14ac:dyDescent="0.25"/>
    <row r="106" s="80" customFormat="1" x14ac:dyDescent="0.25"/>
    <row r="107" s="80" customFormat="1" x14ac:dyDescent="0.25"/>
    <row r="108" s="80" customFormat="1" x14ac:dyDescent="0.25"/>
    <row r="109" s="80" customFormat="1" x14ac:dyDescent="0.25"/>
    <row r="110" s="80" customFormat="1" x14ac:dyDescent="0.25"/>
    <row r="111" s="80" customFormat="1" x14ac:dyDescent="0.25"/>
    <row r="112" s="80" customFormat="1" x14ac:dyDescent="0.25"/>
    <row r="113" s="80" customFormat="1" x14ac:dyDescent="0.25"/>
    <row r="114" s="80" customFormat="1" x14ac:dyDescent="0.25"/>
    <row r="115" s="80" customFormat="1" x14ac:dyDescent="0.25"/>
    <row r="116" s="80" customFormat="1" x14ac:dyDescent="0.25"/>
    <row r="117" s="80" customFormat="1" x14ac:dyDescent="0.25"/>
    <row r="118" s="80" customFormat="1" x14ac:dyDescent="0.25"/>
    <row r="119" s="80" customFormat="1" x14ac:dyDescent="0.25"/>
    <row r="120" s="80" customFormat="1" x14ac:dyDescent="0.25"/>
    <row r="121" s="80" customFormat="1" x14ac:dyDescent="0.25"/>
    <row r="122" s="80" customFormat="1" x14ac:dyDescent="0.25"/>
    <row r="123" s="80" customFormat="1" x14ac:dyDescent="0.25"/>
    <row r="124" s="80" customFormat="1" x14ac:dyDescent="0.25"/>
    <row r="125" s="80" customFormat="1" x14ac:dyDescent="0.25"/>
    <row r="126" s="80" customFormat="1" x14ac:dyDescent="0.25"/>
    <row r="127" s="80" customFormat="1" x14ac:dyDescent="0.25"/>
    <row r="128" s="80" customFormat="1" x14ac:dyDescent="0.25"/>
    <row r="129" s="80" customFormat="1" x14ac:dyDescent="0.25"/>
    <row r="130" s="80" customFormat="1" x14ac:dyDescent="0.25"/>
    <row r="131" s="80" customFormat="1" x14ac:dyDescent="0.25"/>
    <row r="132" s="80" customFormat="1" x14ac:dyDescent="0.25"/>
    <row r="133" s="80" customFormat="1" x14ac:dyDescent="0.25"/>
    <row r="134" s="80" customFormat="1" x14ac:dyDescent="0.25"/>
    <row r="135" s="80" customFormat="1" x14ac:dyDescent="0.25"/>
    <row r="136" s="80" customFormat="1" x14ac:dyDescent="0.25"/>
    <row r="137" s="80" customFormat="1" x14ac:dyDescent="0.25"/>
    <row r="138" s="80" customFormat="1" x14ac:dyDescent="0.25"/>
    <row r="139" s="80" customFormat="1" x14ac:dyDescent="0.25"/>
    <row r="140" s="80" customFormat="1" x14ac:dyDescent="0.25"/>
    <row r="141" s="80" customFormat="1" x14ac:dyDescent="0.25"/>
    <row r="142" s="80" customFormat="1" x14ac:dyDescent="0.25"/>
    <row r="143" s="80" customFormat="1" x14ac:dyDescent="0.25"/>
    <row r="144" s="80" customFormat="1" x14ac:dyDescent="0.25"/>
    <row r="145" s="80" customFormat="1" x14ac:dyDescent="0.25"/>
    <row r="146" s="80" customFormat="1" x14ac:dyDescent="0.25"/>
    <row r="147" s="80" customFormat="1" x14ac:dyDescent="0.25"/>
    <row r="148" s="80" customFormat="1" x14ac:dyDescent="0.25"/>
    <row r="149" s="80" customFormat="1" x14ac:dyDescent="0.25"/>
    <row r="150" s="80" customFormat="1" x14ac:dyDescent="0.25"/>
    <row r="151" s="80" customFormat="1" x14ac:dyDescent="0.25"/>
    <row r="152" s="80" customFormat="1" x14ac:dyDescent="0.25"/>
    <row r="153" s="80" customFormat="1" x14ac:dyDescent="0.25"/>
    <row r="154" s="80" customFormat="1" x14ac:dyDescent="0.25"/>
    <row r="155" s="80" customFormat="1" x14ac:dyDescent="0.25"/>
    <row r="156" s="80" customFormat="1" x14ac:dyDescent="0.25"/>
    <row r="157" s="80" customFormat="1" x14ac:dyDescent="0.25"/>
    <row r="158" s="80" customFormat="1" x14ac:dyDescent="0.25"/>
    <row r="159" s="80" customFormat="1" x14ac:dyDescent="0.25"/>
    <row r="160" s="80" customFormat="1" x14ac:dyDescent="0.25"/>
    <row r="161" s="80" customFormat="1" x14ac:dyDescent="0.25"/>
    <row r="162" s="80" customFormat="1" x14ac:dyDescent="0.25"/>
    <row r="163" s="80" customFormat="1" x14ac:dyDescent="0.25"/>
    <row r="164" s="80" customFormat="1" x14ac:dyDescent="0.25"/>
    <row r="165" s="80" customFormat="1" x14ac:dyDescent="0.25"/>
    <row r="166" s="80" customFormat="1" x14ac:dyDescent="0.25"/>
    <row r="167" s="80" customFormat="1" x14ac:dyDescent="0.25"/>
    <row r="168" s="80" customFormat="1" x14ac:dyDescent="0.25"/>
    <row r="169" s="80" customFormat="1" x14ac:dyDescent="0.25"/>
    <row r="170" s="80" customFormat="1" x14ac:dyDescent="0.25"/>
    <row r="171" s="80" customFormat="1" x14ac:dyDescent="0.25"/>
    <row r="172" s="80" customFormat="1" x14ac:dyDescent="0.25"/>
    <row r="173" s="80" customFormat="1" x14ac:dyDescent="0.25"/>
    <row r="174" s="80" customFormat="1" x14ac:dyDescent="0.25"/>
    <row r="175" s="80" customFormat="1" x14ac:dyDescent="0.25"/>
    <row r="176" s="80" customFormat="1" x14ac:dyDescent="0.25"/>
    <row r="177" s="80" customFormat="1" x14ac:dyDescent="0.25"/>
    <row r="178" s="80" customFormat="1" x14ac:dyDescent="0.25"/>
    <row r="179" s="80" customFormat="1" x14ac:dyDescent="0.25"/>
    <row r="180" s="80" customFormat="1" x14ac:dyDescent="0.25"/>
    <row r="181" s="80" customFormat="1" x14ac:dyDescent="0.25"/>
    <row r="182" s="80" customFormat="1" x14ac:dyDescent="0.25"/>
    <row r="183" s="80" customFormat="1" x14ac:dyDescent="0.25"/>
    <row r="184" s="80" customFormat="1" x14ac:dyDescent="0.25"/>
    <row r="185" s="80" customFormat="1" x14ac:dyDescent="0.25"/>
    <row r="186" s="80" customFormat="1" x14ac:dyDescent="0.25"/>
    <row r="187" s="80" customFormat="1" x14ac:dyDescent="0.25"/>
    <row r="188" s="80" customFormat="1" x14ac:dyDescent="0.25"/>
    <row r="189" s="80" customFormat="1" x14ac:dyDescent="0.25"/>
    <row r="190" s="80" customFormat="1" x14ac:dyDescent="0.25"/>
    <row r="191" s="80" customFormat="1" x14ac:dyDescent="0.25"/>
    <row r="192" s="80" customFormat="1" x14ac:dyDescent="0.25"/>
    <row r="193" s="80" customFormat="1" x14ac:dyDescent="0.25"/>
    <row r="194" s="80" customFormat="1" x14ac:dyDescent="0.25"/>
    <row r="195" s="80" customFormat="1" x14ac:dyDescent="0.25"/>
    <row r="196" s="80" customFormat="1" x14ac:dyDescent="0.25"/>
    <row r="197" s="80" customFormat="1" x14ac:dyDescent="0.25"/>
    <row r="198" s="80" customFormat="1" x14ac:dyDescent="0.25"/>
    <row r="199" s="80" customFormat="1" x14ac:dyDescent="0.25"/>
    <row r="200" s="80" customFormat="1" x14ac:dyDescent="0.25"/>
    <row r="201" s="80" customFormat="1" x14ac:dyDescent="0.25"/>
    <row r="202" s="80" customFormat="1" x14ac:dyDescent="0.25"/>
    <row r="203" s="80" customFormat="1" x14ac:dyDescent="0.25"/>
    <row r="204" s="80" customFormat="1" x14ac:dyDescent="0.25"/>
    <row r="205" s="80" customFormat="1" x14ac:dyDescent="0.25"/>
    <row r="206" s="80" customFormat="1" x14ac:dyDescent="0.25"/>
    <row r="207" s="80" customFormat="1" x14ac:dyDescent="0.25"/>
    <row r="208" s="80" customFormat="1" x14ac:dyDescent="0.25"/>
    <row r="209" s="80" customFormat="1" x14ac:dyDescent="0.25"/>
    <row r="210" s="80" customFormat="1" x14ac:dyDescent="0.25"/>
    <row r="211" s="80" customFormat="1" x14ac:dyDescent="0.25"/>
    <row r="212" s="80" customFormat="1" x14ac:dyDescent="0.25"/>
    <row r="213" s="80" customFormat="1" x14ac:dyDescent="0.25"/>
    <row r="214" s="80" customFormat="1" x14ac:dyDescent="0.25"/>
    <row r="215" s="80" customFormat="1" x14ac:dyDescent="0.25"/>
    <row r="216" s="80" customFormat="1" x14ac:dyDescent="0.25"/>
    <row r="217" s="80" customFormat="1" x14ac:dyDescent="0.25"/>
    <row r="218" s="80" customFormat="1" x14ac:dyDescent="0.25"/>
    <row r="219" s="80" customFormat="1" x14ac:dyDescent="0.25"/>
    <row r="220" s="80" customFormat="1" x14ac:dyDescent="0.25"/>
    <row r="221" s="80" customFormat="1" x14ac:dyDescent="0.25"/>
    <row r="222" s="80" customFormat="1" x14ac:dyDescent="0.25"/>
    <row r="223" s="80" customFormat="1" x14ac:dyDescent="0.25"/>
    <row r="224" s="80" customFormat="1" x14ac:dyDescent="0.25"/>
    <row r="225" s="80" customFormat="1" x14ac:dyDescent="0.25"/>
    <row r="226" s="80" customFormat="1" x14ac:dyDescent="0.25"/>
    <row r="227" s="80" customFormat="1" x14ac:dyDescent="0.25"/>
    <row r="228" s="80" customFormat="1" x14ac:dyDescent="0.25"/>
    <row r="229" s="80" customFormat="1" x14ac:dyDescent="0.25"/>
    <row r="230" s="80" customFormat="1" x14ac:dyDescent="0.25"/>
    <row r="231" s="80" customFormat="1" x14ac:dyDescent="0.25"/>
    <row r="232" s="80" customFormat="1" x14ac:dyDescent="0.25"/>
    <row r="233" s="80" customFormat="1" x14ac:dyDescent="0.25"/>
    <row r="234" s="80" customFormat="1" x14ac:dyDescent="0.25"/>
    <row r="235" s="80" customFormat="1" x14ac:dyDescent="0.25"/>
    <row r="236" s="80" customFormat="1" x14ac:dyDescent="0.25"/>
    <row r="237" s="80" customFormat="1" x14ac:dyDescent="0.25"/>
    <row r="238" s="80" customFormat="1" x14ac:dyDescent="0.25"/>
    <row r="239" s="80" customFormat="1" x14ac:dyDescent="0.25"/>
    <row r="240" s="80" customFormat="1" x14ac:dyDescent="0.25"/>
    <row r="241" s="80" customFormat="1" x14ac:dyDescent="0.25"/>
    <row r="242" s="80" customFormat="1" x14ac:dyDescent="0.25"/>
    <row r="243" s="80" customFormat="1" x14ac:dyDescent="0.25"/>
    <row r="244" s="80" customFormat="1" x14ac:dyDescent="0.25"/>
    <row r="245" s="80" customFormat="1" x14ac:dyDescent="0.25"/>
    <row r="246" s="80" customFormat="1" x14ac:dyDescent="0.25"/>
    <row r="247" s="80" customFormat="1" x14ac:dyDescent="0.25"/>
    <row r="248" s="80" customFormat="1" x14ac:dyDescent="0.25"/>
    <row r="249" s="80" customFormat="1" x14ac:dyDescent="0.25"/>
    <row r="250" s="80" customFormat="1" x14ac:dyDescent="0.25"/>
    <row r="251" s="80" customFormat="1" x14ac:dyDescent="0.25"/>
    <row r="252" s="80" customFormat="1" x14ac:dyDescent="0.25"/>
  </sheetData>
  <sheetProtection algorithmName="SHA-512" hashValue="mVZ8Ln+Cye/cWcJ8FhhmOSPuh0Y6jHFpYxNIWMS1fj1t+uIU31ZkIn7rG0V3CY4LZiHiBBkJWll0cLbEvr1yhg==" saltValue="rWAxg2uuRR9XzrTZVrjsKg==" spinCount="100000" sheet="1" objects="1" scenarios="1" selectLockedCells="1"/>
  <mergeCells count="43">
    <mergeCell ref="B12:C12"/>
    <mergeCell ref="B13:C13"/>
    <mergeCell ref="B14:C14"/>
    <mergeCell ref="U7:V7"/>
    <mergeCell ref="S37:T37"/>
    <mergeCell ref="S40:T40"/>
    <mergeCell ref="X37:Y37"/>
    <mergeCell ref="X39:Y39"/>
    <mergeCell ref="X40:Y40"/>
    <mergeCell ref="C40:D40"/>
    <mergeCell ref="I37:J37"/>
    <mergeCell ref="I39:J39"/>
    <mergeCell ref="I40:J40"/>
    <mergeCell ref="N37:O37"/>
    <mergeCell ref="N39:O39"/>
    <mergeCell ref="N40:O40"/>
    <mergeCell ref="S39:T39"/>
    <mergeCell ref="K3:N3"/>
    <mergeCell ref="K7:L7"/>
    <mergeCell ref="C37:D37"/>
    <mergeCell ref="C39:D39"/>
    <mergeCell ref="P7:Q7"/>
    <mergeCell ref="B7:C7"/>
    <mergeCell ref="B8:C8"/>
    <mergeCell ref="B9:C9"/>
    <mergeCell ref="B10:C10"/>
    <mergeCell ref="H12:I12"/>
    <mergeCell ref="H13:I13"/>
    <mergeCell ref="H8:I8"/>
    <mergeCell ref="H9:I9"/>
    <mergeCell ref="H10:I10"/>
    <mergeCell ref="H11:I11"/>
    <mergeCell ref="B11:C11"/>
    <mergeCell ref="Y19:AA19"/>
    <mergeCell ref="D18:F18"/>
    <mergeCell ref="J18:L18"/>
    <mergeCell ref="O18:Q18"/>
    <mergeCell ref="T18:V18"/>
    <mergeCell ref="Y18:AA18"/>
    <mergeCell ref="D19:F19"/>
    <mergeCell ref="J19:L19"/>
    <mergeCell ref="O19:Q19"/>
    <mergeCell ref="T19:V19"/>
  </mergeCells>
  <conditionalFormatting sqref="E11">
    <cfRule type="cellIs" dxfId="17" priority="6" stopIfTrue="1" operator="equal">
      <formula>"Revisar"</formula>
    </cfRule>
  </conditionalFormatting>
  <conditionalFormatting sqref="C47:C48">
    <cfRule type="cellIs" dxfId="16" priority="5" stopIfTrue="1" operator="equal">
      <formula>"Velocidad excesiva"</formula>
    </cfRule>
  </conditionalFormatting>
  <conditionalFormatting sqref="I47:I48">
    <cfRule type="cellIs" dxfId="15" priority="4" stopIfTrue="1" operator="equal">
      <formula>"Velocidad excesiva"</formula>
    </cfRule>
  </conditionalFormatting>
  <conditionalFormatting sqref="N47:N48">
    <cfRule type="cellIs" dxfId="14" priority="3" stopIfTrue="1" operator="equal">
      <formula>"Velocidad excesiva"</formula>
    </cfRule>
  </conditionalFormatting>
  <conditionalFormatting sqref="S47:S48">
    <cfRule type="cellIs" dxfId="13" priority="2" stopIfTrue="1" operator="equal">
      <formula>"Velocidad excesiva"</formula>
    </cfRule>
  </conditionalFormatting>
  <conditionalFormatting sqref="X47:X48">
    <cfRule type="cellIs" dxfId="12" priority="1" stopIfTrue="1" operator="equal">
      <formula>"Velocidad excesiva"</formula>
    </cfRule>
  </conditionalFormatting>
  <dataValidations count="6">
    <dataValidation type="list" allowBlank="1" showInputMessage="1" showErrorMessage="1" sqref="D21:D31 O21:O31 T21:T31 J21:J31 Y21:Y31" xr:uid="{00000000-0002-0000-0100-000000000000}">
      <formula1>aparatos</formula1>
    </dataValidation>
    <dataValidation type="list" allowBlank="1" showInputMessage="1" showErrorMessage="1" sqref="D10" xr:uid="{00000000-0002-0000-0100-000001000000}">
      <formula1>confort</formula1>
    </dataValidation>
    <dataValidation type="list" allowBlank="1" showInputMessage="1" showErrorMessage="1" sqref="D7" xr:uid="{00000000-0002-0000-0100-000002000000}">
      <formula1>edificios</formula1>
    </dataValidation>
    <dataValidation type="list" allowBlank="1" showInputMessage="1" showErrorMessage="1" sqref="D8:D9" xr:uid="{00000000-0002-0000-0100-000003000000}">
      <formula1>Tagua</formula1>
    </dataValidation>
    <dataValidation type="list" allowBlank="1" showInputMessage="1" showErrorMessage="1" sqref="E46" xr:uid="{00000000-0002-0000-0100-000004000000}">
      <formula1>diametros</formula1>
    </dataValidation>
    <dataValidation type="list" allowBlank="1" showInputMessage="1" showErrorMessage="1" sqref="D12" xr:uid="{00000000-0002-0000-0100-000005000000}">
      <formula1>series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tabColor theme="3" tint="-0.499984740745262"/>
  </sheetPr>
  <dimension ref="A1:CG17"/>
  <sheetViews>
    <sheetView zoomScaleNormal="100" zoomScaleSheetLayoutView="80" workbookViewId="0">
      <pane ySplit="7" topLeftCell="A8" activePane="bottomLeft" state="frozen"/>
      <selection pane="bottomLeft" activeCell="A10" sqref="A10"/>
    </sheetView>
  </sheetViews>
  <sheetFormatPr baseColWidth="10" defaultRowHeight="11.25" x14ac:dyDescent="0.2"/>
  <cols>
    <col min="1" max="1" width="3.7109375" style="172" customWidth="1"/>
    <col min="2" max="2" width="15.7109375" style="172" customWidth="1"/>
    <col min="3" max="4" width="15.7109375" style="173" customWidth="1"/>
    <col min="5" max="7" width="7.7109375" style="173" customWidth="1"/>
    <col min="8" max="8" width="15.7109375" style="173" customWidth="1"/>
    <col min="9" max="9" width="7.7109375" style="173" customWidth="1"/>
    <col min="10" max="19" width="7.7109375" style="173" hidden="1" customWidth="1"/>
    <col min="20" max="22" width="7.7109375" style="173" customWidth="1"/>
    <col min="23" max="23" width="1.7109375" style="173" customWidth="1"/>
    <col min="24" max="29" width="7.7109375" style="174" customWidth="1"/>
    <col min="30" max="30" width="1.7109375" style="173" customWidth="1"/>
    <col min="31" max="34" width="7.7109375" style="174" customWidth="1"/>
    <col min="35" max="35" width="7.7109375" style="173" customWidth="1"/>
    <col min="36" max="36" width="1.7109375" style="172" customWidth="1"/>
    <col min="37" max="39" width="7.7109375" style="172" customWidth="1"/>
    <col min="40" max="40" width="1.7109375" style="172" customWidth="1"/>
    <col min="41" max="54" width="7.7109375" style="173" customWidth="1"/>
    <col min="55" max="63" width="6.7109375" style="175" hidden="1" customWidth="1"/>
    <col min="64" max="70" width="6.7109375" style="176" hidden="1" customWidth="1"/>
    <col min="71" max="84" width="6.7109375" style="175" hidden="1" customWidth="1"/>
    <col min="85" max="99" width="6.7109375" style="172" customWidth="1"/>
    <col min="100" max="16384" width="11.42578125" style="172"/>
  </cols>
  <sheetData>
    <row r="1" spans="1:85" ht="12" thickBot="1" x14ac:dyDescent="0.25"/>
    <row r="2" spans="1:85" ht="15" customHeight="1" thickBot="1" x14ac:dyDescent="0.25">
      <c r="B2" s="455" t="s">
        <v>338</v>
      </c>
      <c r="C2" s="456"/>
      <c r="D2" s="293">
        <v>17</v>
      </c>
      <c r="F2" s="450" t="s">
        <v>346</v>
      </c>
      <c r="G2" s="451"/>
      <c r="H2" s="452"/>
      <c r="T2" s="177" t="s">
        <v>245</v>
      </c>
      <c r="X2" s="173"/>
      <c r="Y2" s="173"/>
      <c r="Z2" s="173"/>
      <c r="AA2" s="173"/>
      <c r="AB2" s="173"/>
      <c r="AC2" s="172"/>
      <c r="AD2" s="172"/>
      <c r="AE2" s="172"/>
      <c r="AF2" s="172"/>
      <c r="AG2" s="172"/>
    </row>
    <row r="3" spans="1:85" ht="15" customHeight="1" x14ac:dyDescent="0.2">
      <c r="B3" s="355" t="s">
        <v>198</v>
      </c>
      <c r="C3" s="356"/>
      <c r="D3" s="382">
        <v>1</v>
      </c>
      <c r="E3" s="179"/>
      <c r="T3" s="180">
        <v>12</v>
      </c>
      <c r="U3" s="180">
        <v>16</v>
      </c>
      <c r="V3" s="180">
        <v>20</v>
      </c>
      <c r="X3" s="180">
        <v>25</v>
      </c>
      <c r="Y3" s="180">
        <v>32</v>
      </c>
      <c r="Z3" s="180">
        <v>40</v>
      </c>
      <c r="AA3" s="180">
        <v>50</v>
      </c>
      <c r="AB3" s="180">
        <v>63</v>
      </c>
      <c r="AC3" s="180">
        <v>75</v>
      </c>
      <c r="AE3" s="180">
        <v>90</v>
      </c>
      <c r="AF3" s="180">
        <v>110</v>
      </c>
      <c r="AG3" s="180">
        <v>125</v>
      </c>
      <c r="AH3" s="180">
        <v>140</v>
      </c>
      <c r="AI3" s="180">
        <v>160</v>
      </c>
    </row>
    <row r="4" spans="1:85" ht="15" customHeight="1" x14ac:dyDescent="0.2">
      <c r="B4" s="457" t="s">
        <v>199</v>
      </c>
      <c r="C4" s="458"/>
      <c r="D4" s="383">
        <v>5</v>
      </c>
      <c r="E4" s="179"/>
      <c r="T4" s="181">
        <f>SUM(BS:BS)</f>
        <v>0</v>
      </c>
      <c r="U4" s="181">
        <f>SUM(BT:BT)</f>
        <v>0</v>
      </c>
      <c r="V4" s="181">
        <f>SUM(BU:BU)</f>
        <v>0</v>
      </c>
      <c r="X4" s="181">
        <f>SUM(BV:BV)</f>
        <v>0</v>
      </c>
      <c r="Y4" s="181">
        <f>SUM(BW:BW)</f>
        <v>0</v>
      </c>
      <c r="Z4" s="181">
        <f>SUM(BX:BX)</f>
        <v>0</v>
      </c>
      <c r="AA4" s="181">
        <f>SUM(BY:BY)</f>
        <v>22</v>
      </c>
      <c r="AB4" s="181">
        <f>SUM(BZ:BZ)</f>
        <v>0</v>
      </c>
      <c r="AC4" s="181">
        <f>SUM(CA:CA)</f>
        <v>0</v>
      </c>
      <c r="AE4" s="181">
        <f>SUM(CB:CB)</f>
        <v>0</v>
      </c>
      <c r="AF4" s="181">
        <f>SUM(CC:CC)</f>
        <v>0</v>
      </c>
      <c r="AG4" s="181">
        <f>SUM(CD:CD)</f>
        <v>0</v>
      </c>
      <c r="AH4" s="181">
        <f>SUM(CE:CE)</f>
        <v>0</v>
      </c>
      <c r="AI4" s="181">
        <f>SUM(CF:CF)</f>
        <v>0</v>
      </c>
    </row>
    <row r="5" spans="1:85" ht="15" customHeight="1" thickBot="1" x14ac:dyDescent="0.25">
      <c r="B5" s="457" t="s">
        <v>194</v>
      </c>
      <c r="C5" s="458"/>
      <c r="D5" s="178">
        <f ca="1">'Grupo AF'!D29</f>
        <v>6.7235727632988755</v>
      </c>
      <c r="E5" s="179"/>
      <c r="AZ5" s="173" t="s">
        <v>234</v>
      </c>
    </row>
    <row r="6" spans="1:85" ht="15" customHeight="1" thickBot="1" x14ac:dyDescent="0.25">
      <c r="B6" s="459" t="s">
        <v>211</v>
      </c>
      <c r="C6" s="460"/>
      <c r="D6" s="341">
        <f ca="1">SUM(BA:BA)</f>
        <v>6.3225183403377896</v>
      </c>
      <c r="E6" s="182"/>
      <c r="AZ6" s="173" t="s">
        <v>235</v>
      </c>
    </row>
    <row r="7" spans="1:85" x14ac:dyDescent="0.2">
      <c r="C7" s="172"/>
      <c r="D7" s="172"/>
      <c r="E7" s="172"/>
      <c r="AW7" s="173" t="s">
        <v>314</v>
      </c>
      <c r="AZ7" s="173" t="s">
        <v>236</v>
      </c>
    </row>
    <row r="8" spans="1:85" ht="12" thickBot="1" x14ac:dyDescent="0.25">
      <c r="A8" s="183">
        <v>1</v>
      </c>
      <c r="C8" s="172"/>
      <c r="D8" s="172"/>
      <c r="E8" s="172"/>
    </row>
    <row r="9" spans="1:85" ht="15" customHeight="1" x14ac:dyDescent="0.2">
      <c r="A9" s="184"/>
      <c r="B9" s="453" t="s">
        <v>155</v>
      </c>
      <c r="C9" s="454"/>
      <c r="D9" s="185" t="s">
        <v>157</v>
      </c>
      <c r="E9" s="146" t="s">
        <v>158</v>
      </c>
      <c r="F9" s="146" t="s">
        <v>154</v>
      </c>
      <c r="G9" s="147" t="s">
        <v>154</v>
      </c>
      <c r="H9" s="185" t="s">
        <v>322</v>
      </c>
      <c r="I9" s="147" t="s">
        <v>153</v>
      </c>
      <c r="J9" s="156" t="s">
        <v>299</v>
      </c>
      <c r="K9" s="157" t="s">
        <v>47</v>
      </c>
      <c r="L9" s="157" t="s">
        <v>287</v>
      </c>
      <c r="M9" s="157" t="s">
        <v>300</v>
      </c>
      <c r="N9" s="157" t="s">
        <v>287</v>
      </c>
      <c r="O9" s="157" t="s">
        <v>301</v>
      </c>
      <c r="P9" s="157" t="s">
        <v>301</v>
      </c>
      <c r="Q9" s="157" t="s">
        <v>182</v>
      </c>
      <c r="R9" s="157" t="s">
        <v>182</v>
      </c>
      <c r="S9" s="158" t="s">
        <v>182</v>
      </c>
      <c r="T9" s="186" t="s">
        <v>308</v>
      </c>
      <c r="U9" s="185" t="s">
        <v>308</v>
      </c>
      <c r="V9" s="147" t="s">
        <v>309</v>
      </c>
      <c r="X9" s="185" t="s">
        <v>87</v>
      </c>
      <c r="Y9" s="146" t="s">
        <v>152</v>
      </c>
      <c r="Z9" s="146" t="s">
        <v>152</v>
      </c>
      <c r="AA9" s="146" t="s">
        <v>152</v>
      </c>
      <c r="AB9" s="146" t="s">
        <v>152</v>
      </c>
      <c r="AC9" s="147" t="s">
        <v>87</v>
      </c>
      <c r="AE9" s="185" t="s">
        <v>151</v>
      </c>
      <c r="AF9" s="146" t="s">
        <v>151</v>
      </c>
      <c r="AG9" s="146" t="s">
        <v>193</v>
      </c>
      <c r="AH9" s="146" t="s">
        <v>151</v>
      </c>
      <c r="AI9" s="147" t="s">
        <v>151</v>
      </c>
      <c r="AK9" s="185" t="s">
        <v>321</v>
      </c>
      <c r="AL9" s="146" t="s">
        <v>195</v>
      </c>
      <c r="AM9" s="147" t="s">
        <v>195</v>
      </c>
      <c r="AO9" s="187" t="s">
        <v>190</v>
      </c>
      <c r="AP9" s="188" t="s">
        <v>180</v>
      </c>
      <c r="AQ9" s="188" t="s">
        <v>183</v>
      </c>
      <c r="AR9" s="188" t="s">
        <v>184</v>
      </c>
      <c r="AS9" s="188" t="s">
        <v>182</v>
      </c>
      <c r="AT9" s="188" t="s">
        <v>182</v>
      </c>
      <c r="AU9" s="189" t="s">
        <v>187</v>
      </c>
      <c r="AV9" s="173" t="s">
        <v>187</v>
      </c>
      <c r="AW9" s="173" t="s">
        <v>187</v>
      </c>
      <c r="AX9" s="173" t="s">
        <v>231</v>
      </c>
      <c r="AY9" s="173" t="s">
        <v>187</v>
      </c>
      <c r="AZ9" s="173" t="s">
        <v>187</v>
      </c>
      <c r="BA9" s="173" t="s">
        <v>210</v>
      </c>
      <c r="BC9" s="175">
        <v>1</v>
      </c>
      <c r="BD9" s="175">
        <f>BC9+1</f>
        <v>2</v>
      </c>
      <c r="BE9" s="175">
        <f t="shared" ref="BE9:BP9" si="0">BD9+1</f>
        <v>3</v>
      </c>
      <c r="BF9" s="175">
        <f t="shared" si="0"/>
        <v>4</v>
      </c>
      <c r="BG9" s="175">
        <f t="shared" si="0"/>
        <v>5</v>
      </c>
      <c r="BH9" s="175">
        <f t="shared" si="0"/>
        <v>6</v>
      </c>
      <c r="BI9" s="175">
        <f t="shared" si="0"/>
        <v>7</v>
      </c>
      <c r="BJ9" s="175">
        <f t="shared" si="0"/>
        <v>8</v>
      </c>
      <c r="BK9" s="175">
        <f t="shared" si="0"/>
        <v>9</v>
      </c>
      <c r="BL9" s="175">
        <f t="shared" si="0"/>
        <v>10</v>
      </c>
      <c r="BM9" s="175">
        <f t="shared" si="0"/>
        <v>11</v>
      </c>
      <c r="BN9" s="175">
        <f t="shared" si="0"/>
        <v>12</v>
      </c>
      <c r="BO9" s="175">
        <f t="shared" si="0"/>
        <v>13</v>
      </c>
      <c r="BP9" s="175">
        <f t="shared" si="0"/>
        <v>14</v>
      </c>
      <c r="BS9" s="175">
        <f>BC14</f>
        <v>0</v>
      </c>
      <c r="BT9" s="175">
        <f t="shared" ref="BT9:CF9" si="1">BD14</f>
        <v>0</v>
      </c>
      <c r="BU9" s="175">
        <f t="shared" si="1"/>
        <v>0</v>
      </c>
      <c r="BV9" s="175">
        <f t="shared" si="1"/>
        <v>0</v>
      </c>
      <c r="BW9" s="175">
        <f t="shared" si="1"/>
        <v>0</v>
      </c>
      <c r="BX9" s="175">
        <f t="shared" si="1"/>
        <v>0</v>
      </c>
      <c r="BY9" s="175">
        <f t="shared" si="1"/>
        <v>22</v>
      </c>
      <c r="BZ9" s="175">
        <f t="shared" si="1"/>
        <v>0</v>
      </c>
      <c r="CA9" s="175">
        <f t="shared" si="1"/>
        <v>0</v>
      </c>
      <c r="CB9" s="175">
        <f t="shared" si="1"/>
        <v>0</v>
      </c>
      <c r="CC9" s="175">
        <f t="shared" si="1"/>
        <v>0</v>
      </c>
      <c r="CD9" s="175">
        <f t="shared" si="1"/>
        <v>0</v>
      </c>
      <c r="CE9" s="175">
        <f t="shared" si="1"/>
        <v>0</v>
      </c>
      <c r="CF9" s="175">
        <f t="shared" si="1"/>
        <v>0</v>
      </c>
    </row>
    <row r="10" spans="1:85" ht="15" customHeight="1" x14ac:dyDescent="0.2">
      <c r="A10" s="190">
        <v>1</v>
      </c>
      <c r="B10" s="464" t="s">
        <v>156</v>
      </c>
      <c r="C10" s="465"/>
      <c r="D10" s="191"/>
      <c r="E10" s="145" t="s">
        <v>163</v>
      </c>
      <c r="F10" s="145" t="s">
        <v>298</v>
      </c>
      <c r="G10" s="148" t="s">
        <v>150</v>
      </c>
      <c r="H10" s="170"/>
      <c r="I10" s="148" t="s">
        <v>243</v>
      </c>
      <c r="J10" s="151"/>
      <c r="K10" s="150" t="s">
        <v>302</v>
      </c>
      <c r="L10" s="150" t="s">
        <v>303</v>
      </c>
      <c r="M10" s="150" t="s">
        <v>287</v>
      </c>
      <c r="N10" s="150" t="s">
        <v>304</v>
      </c>
      <c r="O10" s="150" t="s">
        <v>305</v>
      </c>
      <c r="P10" s="150" t="s">
        <v>306</v>
      </c>
      <c r="Q10" s="150" t="s">
        <v>44</v>
      </c>
      <c r="R10" s="150" t="s">
        <v>45</v>
      </c>
      <c r="S10" s="152" t="s">
        <v>46</v>
      </c>
      <c r="T10" s="153" t="s">
        <v>160</v>
      </c>
      <c r="U10" s="191" t="s">
        <v>310</v>
      </c>
      <c r="V10" s="148" t="s">
        <v>159</v>
      </c>
      <c r="X10" s="191" t="s">
        <v>149</v>
      </c>
      <c r="Y10" s="145" t="s">
        <v>255</v>
      </c>
      <c r="Z10" s="145" t="s">
        <v>161</v>
      </c>
      <c r="AA10" s="145" t="s">
        <v>161</v>
      </c>
      <c r="AB10" s="145" t="s">
        <v>162</v>
      </c>
      <c r="AC10" s="148" t="s">
        <v>148</v>
      </c>
      <c r="AE10" s="191" t="s">
        <v>147</v>
      </c>
      <c r="AF10" s="145" t="s">
        <v>147</v>
      </c>
      <c r="AG10" s="145" t="s">
        <v>146</v>
      </c>
      <c r="AH10" s="145" t="s">
        <v>145</v>
      </c>
      <c r="AI10" s="148" t="s">
        <v>160</v>
      </c>
      <c r="AK10" s="191" t="s">
        <v>155</v>
      </c>
      <c r="AL10" s="145" t="s">
        <v>209</v>
      </c>
      <c r="AM10" s="148" t="s">
        <v>197</v>
      </c>
      <c r="AO10" s="192" t="s">
        <v>177</v>
      </c>
      <c r="AP10" s="193" t="s">
        <v>179</v>
      </c>
      <c r="AQ10" s="193" t="s">
        <v>181</v>
      </c>
      <c r="AR10" s="193" t="s">
        <v>185</v>
      </c>
      <c r="AS10" s="193" t="s">
        <v>191</v>
      </c>
      <c r="AT10" s="193" t="s">
        <v>191</v>
      </c>
      <c r="AU10" s="194" t="s">
        <v>188</v>
      </c>
      <c r="AV10" s="173" t="s">
        <v>200</v>
      </c>
      <c r="AW10" s="173" t="s">
        <v>200</v>
      </c>
      <c r="AX10" s="173" t="s">
        <v>315</v>
      </c>
      <c r="AY10" s="173" t="s">
        <v>200</v>
      </c>
      <c r="AZ10" s="173" t="s">
        <v>200</v>
      </c>
      <c r="BA10" s="173" t="s">
        <v>204</v>
      </c>
      <c r="BC10" s="195">
        <v>12</v>
      </c>
      <c r="BD10" s="195">
        <v>16</v>
      </c>
      <c r="BE10" s="195">
        <v>20</v>
      </c>
      <c r="BF10" s="195">
        <v>25</v>
      </c>
      <c r="BG10" s="195">
        <v>32</v>
      </c>
      <c r="BH10" s="195">
        <v>40</v>
      </c>
      <c r="BI10" s="195">
        <v>50</v>
      </c>
      <c r="BJ10" s="195">
        <v>63</v>
      </c>
      <c r="BK10" s="195">
        <v>75</v>
      </c>
      <c r="BL10" s="195">
        <v>90</v>
      </c>
      <c r="BM10" s="195">
        <v>110</v>
      </c>
      <c r="BN10" s="195">
        <v>125</v>
      </c>
      <c r="BO10" s="195">
        <v>140</v>
      </c>
      <c r="BP10" s="195">
        <v>160</v>
      </c>
      <c r="CG10" s="173"/>
    </row>
    <row r="11" spans="1:85" ht="15.75" customHeight="1" thickBot="1" x14ac:dyDescent="0.25">
      <c r="A11" s="196"/>
      <c r="B11" s="159"/>
      <c r="C11" s="160"/>
      <c r="D11" s="197"/>
      <c r="E11" s="161" t="s">
        <v>164</v>
      </c>
      <c r="F11" s="161" t="s">
        <v>144</v>
      </c>
      <c r="G11" s="162" t="s">
        <v>144</v>
      </c>
      <c r="H11" s="171"/>
      <c r="I11" s="162" t="s">
        <v>144</v>
      </c>
      <c r="J11" s="163"/>
      <c r="K11" s="164"/>
      <c r="L11" s="164" t="s">
        <v>307</v>
      </c>
      <c r="M11" s="164"/>
      <c r="N11" s="164" t="s">
        <v>305</v>
      </c>
      <c r="O11" s="164"/>
      <c r="P11" s="164"/>
      <c r="Q11" s="164"/>
      <c r="R11" s="164"/>
      <c r="S11" s="165"/>
      <c r="T11" s="166" t="s">
        <v>144</v>
      </c>
      <c r="U11" s="197" t="s">
        <v>311</v>
      </c>
      <c r="V11" s="162" t="s">
        <v>311</v>
      </c>
      <c r="X11" s="197" t="s">
        <v>142</v>
      </c>
      <c r="Y11" s="161" t="s">
        <v>143</v>
      </c>
      <c r="Z11" s="161" t="s">
        <v>202</v>
      </c>
      <c r="AA11" s="161" t="s">
        <v>203</v>
      </c>
      <c r="AB11" s="161" t="s">
        <v>143</v>
      </c>
      <c r="AC11" s="162" t="s">
        <v>142</v>
      </c>
      <c r="AE11" s="191" t="s">
        <v>189</v>
      </c>
      <c r="AF11" s="145" t="s">
        <v>141</v>
      </c>
      <c r="AG11" s="145" t="s">
        <v>141</v>
      </c>
      <c r="AH11" s="161" t="s">
        <v>141</v>
      </c>
      <c r="AI11" s="162" t="s">
        <v>140</v>
      </c>
      <c r="AK11" s="198" t="s">
        <v>320</v>
      </c>
      <c r="AL11" s="199" t="s">
        <v>196</v>
      </c>
      <c r="AM11" s="148" t="s">
        <v>196</v>
      </c>
      <c r="AO11" s="200" t="s">
        <v>178</v>
      </c>
      <c r="AP11" s="201" t="s">
        <v>143</v>
      </c>
      <c r="AQ11" s="201"/>
      <c r="AR11" s="201"/>
      <c r="AS11" s="201" t="s">
        <v>192</v>
      </c>
      <c r="AT11" s="201" t="s">
        <v>186</v>
      </c>
      <c r="AU11" s="202" t="s">
        <v>189</v>
      </c>
      <c r="AV11" s="173" t="s">
        <v>201</v>
      </c>
      <c r="AW11" s="173" t="s">
        <v>231</v>
      </c>
      <c r="AX11" s="173" t="s">
        <v>316</v>
      </c>
      <c r="AY11" s="173" t="s">
        <v>232</v>
      </c>
      <c r="AZ11" s="173" t="s">
        <v>233</v>
      </c>
      <c r="BA11" s="203" t="s">
        <v>205</v>
      </c>
      <c r="BC11" s="204">
        <f>INDEX(Tablas!$C$98:$P$111,BC9,BC12)</f>
        <v>8.8000000000000007</v>
      </c>
      <c r="BD11" s="204">
        <f>INDEX(Tablas!$C$98:$P$111,BD9,BD12)</f>
        <v>11.7</v>
      </c>
      <c r="BE11" s="204">
        <f>INDEX(Tablas!$C$98:$P$111,BE9,BE12)</f>
        <v>14.6</v>
      </c>
      <c r="BF11" s="204">
        <f>INDEX(Tablas!$C$98:$P$111,BF9,BF12)</f>
        <v>18.2</v>
      </c>
      <c r="BG11" s="204">
        <f>INDEX(Tablas!$C$98:$P$111,BG9,BG12)</f>
        <v>23.4</v>
      </c>
      <c r="BH11" s="204">
        <f>INDEX(Tablas!$C$98:$P$111,BH9,BH12)</f>
        <v>29.2</v>
      </c>
      <c r="BI11" s="204">
        <f>INDEX(Tablas!$C$98:$P$111,BI9,BI12)</f>
        <v>36.5</v>
      </c>
      <c r="BJ11" s="204">
        <f>INDEX(Tablas!$C$98:$P$111,BJ9,BJ12)</f>
        <v>46</v>
      </c>
      <c r="BK11" s="204">
        <f>INDEX(Tablas!$C$98:$P$111,BK9,BK12)</f>
        <v>54.7</v>
      </c>
      <c r="BL11" s="204">
        <f>INDEX(Tablas!$C$98:$P$111,BL9,BL12)</f>
        <v>65.7</v>
      </c>
      <c r="BM11" s="204">
        <f>INDEX(Tablas!$C$98:$P$111,BM9,BM12)</f>
        <v>80.3</v>
      </c>
      <c r="BN11" s="204">
        <f>INDEX(Tablas!$C$98:$P$111,BN9,BN12)</f>
        <v>91.2</v>
      </c>
      <c r="BO11" s="204">
        <f>INDEX(Tablas!$C$98:$P$111,BO9,BO12)</f>
        <v>102.2</v>
      </c>
      <c r="BP11" s="204">
        <f>INDEX(Tablas!$C$98:$P$111,BP9,BP12)</f>
        <v>116.8</v>
      </c>
      <c r="CG11" s="173"/>
    </row>
    <row r="12" spans="1:85" ht="12" customHeight="1" thickBot="1" x14ac:dyDescent="0.25">
      <c r="B12" s="468" t="s">
        <v>422</v>
      </c>
      <c r="C12" s="469"/>
      <c r="D12" s="205" t="str">
        <f>'Consumos TIPO'!$H$9</f>
        <v>VIVIENDA TIPO A</v>
      </c>
      <c r="E12" s="155">
        <v>20</v>
      </c>
      <c r="F12" s="206">
        <f>IF(E12=0,0,'Consumos TIPO'!$E$36+'Consumos TIPO'!$E$37)</f>
        <v>1.65</v>
      </c>
      <c r="G12" s="207">
        <f>E12*F12</f>
        <v>33</v>
      </c>
      <c r="H12" s="208" t="str">
        <f>'Consumos TIPO'!$O$9</f>
        <v>Basuras + Baldeo</v>
      </c>
      <c r="I12" s="256">
        <v>0</v>
      </c>
      <c r="J12" s="209" t="str">
        <f>'Consumos TIPO'!$D$7</f>
        <v>Viviendas</v>
      </c>
      <c r="K12" s="210">
        <f>Tablas!D47</f>
        <v>0.3</v>
      </c>
      <c r="L12" s="210">
        <f>VLOOKUP(J12,Tablas!$I$60:$K$65,3,FALSE)</f>
        <v>1</v>
      </c>
      <c r="M12" s="210">
        <f>IF(G12&gt;20,3,IF(K12&lt;0.5,0,IF(G12&lt;=1,1,2)))</f>
        <v>3</v>
      </c>
      <c r="N12" s="210">
        <f t="shared" ref="N12:N17" si="2">L12+M12</f>
        <v>4</v>
      </c>
      <c r="O12" s="210">
        <f t="shared" ref="O12:O17" si="3">1+IF(G12&lt;=1.5,0,IF(G12&lt;=20,1,2))</f>
        <v>3</v>
      </c>
      <c r="P12" s="210">
        <f>IF(J12=Tablas!I65,O12,N12)</f>
        <v>4</v>
      </c>
      <c r="Q12" s="210">
        <f>INDEX(Tablas!$E$59:$G$81,P12,1)</f>
        <v>1.7</v>
      </c>
      <c r="R12" s="210">
        <f>INDEX(Tablas!$E$59:$G$81,P12,2)</f>
        <v>0.21</v>
      </c>
      <c r="S12" s="211">
        <f>INDEX(Tablas!$E$59:$G$81,P12,3)</f>
        <v>-0.7</v>
      </c>
      <c r="T12" s="212"/>
      <c r="U12" s="213">
        <f>IF(G12=0,0,POWER(G12,R12)*Q12+S12)</f>
        <v>2.8427201604184971</v>
      </c>
      <c r="V12" s="207">
        <f>IF(G12=0,0,U12/G12)</f>
        <v>8.6143035164196885E-2</v>
      </c>
      <c r="X12" s="384">
        <v>3</v>
      </c>
      <c r="Y12" s="214">
        <f>(4000*U17/(3.1416*$X$12))^0.5</f>
        <v>36.172221828030075</v>
      </c>
      <c r="Z12" s="215">
        <f>INDEX(Tablas!$S$98:$S$111,MATCH(Y12,BC11:BP11,1)+1,1)</f>
        <v>50</v>
      </c>
      <c r="AA12" s="506">
        <f>Z12</f>
        <v>50</v>
      </c>
      <c r="AB12" s="216">
        <f>INDEX(Tablas!$C$98:$P$111,MATCH(AA12,Tablas!$B$98:$B$111,0),MATCH(Y15,Tablas!$C$96:$P$96,0))</f>
        <v>36.5</v>
      </c>
      <c r="AC12" s="217">
        <f>4000*U17/(PI()*AB12*AB12)</f>
        <v>2.9463674797985169</v>
      </c>
      <c r="AE12" s="218">
        <f ca="1">IFERROR(AU12,AW12)</f>
        <v>0.22990975783046508</v>
      </c>
      <c r="AF12" s="219">
        <f ca="1">AE12*(B16+C16)</f>
        <v>5.0580146722702315</v>
      </c>
      <c r="AG12" s="220">
        <f ca="1">AF12*0.25</f>
        <v>1.2645036680675579</v>
      </c>
      <c r="AH12" s="221">
        <f ca="1">AF12+AG12</f>
        <v>6.3225183403377896</v>
      </c>
      <c r="AI12" s="222">
        <f ca="1">AH12*9.8</f>
        <v>61.960679735310343</v>
      </c>
      <c r="AK12" s="385" t="s">
        <v>318</v>
      </c>
      <c r="AL12" s="223">
        <f ca="1">IF(AK12="inicio",$D$5,INDEX($AM$9:$AM$11043,MATCH(AK12,$A$9:$A$11043,0)+2,1))</f>
        <v>6.7235727632988755</v>
      </c>
      <c r="AM12" s="224">
        <f ca="1">AL12-(C16*0.098)-(AH12*0.098)</f>
        <v>5.8099659659457714</v>
      </c>
      <c r="AO12" s="225">
        <f>VLOOKUP('Consumos TIPO'!$D$8,'Propiedades agua'!$A$7:$K$27,5,FALSE)/100</f>
        <v>1.3080000000000001E-2</v>
      </c>
      <c r="AP12" s="225">
        <f>VLOOKUP(Y14,Tablas!$B$115:$C$125,2,FALSE)</f>
        <v>1.5E-3</v>
      </c>
      <c r="AQ12" s="225">
        <f>9.99*AC12*AB12/AO12</f>
        <v>82136.751222961175</v>
      </c>
      <c r="AR12" s="225">
        <f>AP12/AB12</f>
        <v>4.1095890410958905E-5</v>
      </c>
      <c r="AS12" s="226">
        <f ca="1">-2*LOG10((2.51*AS12/AQ12)+AR12/3.71)</f>
        <v>7.2649686155065956</v>
      </c>
      <c r="AT12" s="225">
        <f ca="1">1/(AS12*AS12)</f>
        <v>1.8946653599365728E-2</v>
      </c>
      <c r="AU12" s="225">
        <f ca="1">(AT12/AB12)*(AC12*AC12/(2*9.8))*1000</f>
        <v>0.22990975783046508</v>
      </c>
      <c r="AV12" s="173">
        <f>10.674*((U17/1000)^1.852/(140^1.852*(AB12/1000)^4.781))</f>
        <v>0.18920581659502919</v>
      </c>
      <c r="AW12" s="173">
        <f>(0.00056)*((AC12)^(7/4))/((AB12/1000)^(5/4))</f>
        <v>0.23258089806565066</v>
      </c>
      <c r="AX12" s="173">
        <f>378*((U17*3600)^1.75)/(AB12^4.75)/1000</f>
        <v>0.17211332104508745</v>
      </c>
      <c r="AY12" s="173">
        <f>(0.316/(AQ12^0.25))*999*AC12^2/(2*(AB12/1000))/10000</f>
        <v>0.22175282196198723</v>
      </c>
      <c r="AZ12" s="173">
        <f ca="1">10.3*(AS12^2*0.000001)*((U17/1000)^2/((AB12/1000)^5.33))</f>
        <v>0.23779832296246031</v>
      </c>
      <c r="BA12" s="227">
        <f ca="1">IF(C14="NO",0,AH12)</f>
        <v>6.3225183403377896</v>
      </c>
      <c r="BC12" s="175">
        <f>HLOOKUP(Y15,Tablas!$C$87:$I$94,8,FALSE)</f>
        <v>6</v>
      </c>
      <c r="BD12" s="175">
        <f>BC12</f>
        <v>6</v>
      </c>
      <c r="BE12" s="175">
        <f t="shared" ref="BE12:BP12" si="4">BD12</f>
        <v>6</v>
      </c>
      <c r="BF12" s="175">
        <f t="shared" si="4"/>
        <v>6</v>
      </c>
      <c r="BG12" s="175">
        <f t="shared" si="4"/>
        <v>6</v>
      </c>
      <c r="BH12" s="175">
        <f t="shared" si="4"/>
        <v>6</v>
      </c>
      <c r="BI12" s="175">
        <f t="shared" si="4"/>
        <v>6</v>
      </c>
      <c r="BJ12" s="175">
        <f t="shared" si="4"/>
        <v>6</v>
      </c>
      <c r="BK12" s="175">
        <f t="shared" si="4"/>
        <v>6</v>
      </c>
      <c r="BL12" s="175">
        <f t="shared" si="4"/>
        <v>6</v>
      </c>
      <c r="BM12" s="175">
        <f t="shared" si="4"/>
        <v>6</v>
      </c>
      <c r="BN12" s="175">
        <f t="shared" si="4"/>
        <v>6</v>
      </c>
      <c r="BO12" s="175">
        <f t="shared" si="4"/>
        <v>6</v>
      </c>
      <c r="BP12" s="175">
        <f t="shared" si="4"/>
        <v>6</v>
      </c>
      <c r="BR12" s="228"/>
      <c r="BS12" s="229"/>
      <c r="CG12" s="173"/>
    </row>
    <row r="13" spans="1:85" ht="12" customHeight="1" thickBot="1" x14ac:dyDescent="0.25">
      <c r="B13" s="230"/>
      <c r="C13" s="231"/>
      <c r="D13" s="232" t="str">
        <f>'Consumos TIPO'!$H$10</f>
        <v>VIVIENDA TIPO B</v>
      </c>
      <c r="E13" s="144">
        <v>5</v>
      </c>
      <c r="F13" s="233">
        <f>IF(E13=0,0,'Consumos TIPO'!$K$36+'Consumos TIPO'!$K$37)</f>
        <v>1.8499999999999999</v>
      </c>
      <c r="G13" s="234">
        <f>E13*F13</f>
        <v>9.25</v>
      </c>
      <c r="H13" s="208" t="str">
        <f>'Consumos TIPO'!$O$10</f>
        <v>Riego</v>
      </c>
      <c r="I13" s="257">
        <v>0</v>
      </c>
      <c r="J13" s="235" t="str">
        <f>J12</f>
        <v>Viviendas</v>
      </c>
      <c r="K13" s="236">
        <f>Tablas!G47</f>
        <v>0.4</v>
      </c>
      <c r="L13" s="210">
        <f>VLOOKUP(J13,Tablas!$I$60:$K$65,3,FALSE)</f>
        <v>1</v>
      </c>
      <c r="M13" s="210">
        <f>IF(G13&gt;20,3,IF(K13&lt;0.5,0,IF(G13&lt;=1,1,2)))</f>
        <v>0</v>
      </c>
      <c r="N13" s="210">
        <f t="shared" si="2"/>
        <v>1</v>
      </c>
      <c r="O13" s="210">
        <f t="shared" si="3"/>
        <v>2</v>
      </c>
      <c r="P13" s="210">
        <f>IF(J13=Tablas!I66,O13,N13)</f>
        <v>1</v>
      </c>
      <c r="Q13" s="210">
        <f>INDEX(Tablas!$E$59:$G$81,P13,1)</f>
        <v>0.68200000000000005</v>
      </c>
      <c r="R13" s="210">
        <f>INDEX(Tablas!$E$59:$G$81,P13,2)</f>
        <v>0.45</v>
      </c>
      <c r="S13" s="211">
        <f>INDEX(Tablas!$E$59:$G$81,P13,3)</f>
        <v>-0.14000000000000001</v>
      </c>
      <c r="T13" s="212"/>
      <c r="U13" s="237">
        <f>IF(G13=0,0,POWER(G13,R13)*Q13+S13)</f>
        <v>1.715872576394474</v>
      </c>
      <c r="V13" s="234">
        <f>IF(G13=0,0,U13/G13)</f>
        <v>0.18549973798859179</v>
      </c>
      <c r="AE13" s="172"/>
      <c r="AF13" s="172"/>
      <c r="AG13" s="172"/>
      <c r="AH13" s="172"/>
      <c r="AI13" s="172"/>
      <c r="AN13" s="174"/>
      <c r="BC13" s="175">
        <f>IF(BC10=Z12,1,0)</f>
        <v>0</v>
      </c>
      <c r="BD13" s="175">
        <f>IF(BD10=AA12,1,0)</f>
        <v>0</v>
      </c>
      <c r="BE13" s="175">
        <f>IF(BE10=AA12,1,0)</f>
        <v>0</v>
      </c>
      <c r="BF13" s="175">
        <f>IF(BF10=AA12,1,0)</f>
        <v>0</v>
      </c>
      <c r="BG13" s="175">
        <f>IF(BG10=AA12,1,0)</f>
        <v>0</v>
      </c>
      <c r="BH13" s="175">
        <f>IF(BH10=AA12,1,0)</f>
        <v>0</v>
      </c>
      <c r="BI13" s="175">
        <f>IF(BI10=AA12,1,0)</f>
        <v>1</v>
      </c>
      <c r="BJ13" s="175">
        <f>IF(BJ10=AA12,1,0)</f>
        <v>0</v>
      </c>
      <c r="BK13" s="175">
        <f>IF(BK10=AA12,1,0)</f>
        <v>0</v>
      </c>
      <c r="BL13" s="175">
        <f>IF(BL10=AA12,1,0)</f>
        <v>0</v>
      </c>
      <c r="BM13" s="175">
        <f>IF(BM10=AA12,1,0)</f>
        <v>0</v>
      </c>
      <c r="BN13" s="175">
        <f>IF(BN10=AA12,1,0)</f>
        <v>0</v>
      </c>
      <c r="BO13" s="175">
        <f>IF(BO10=AA12,1,0)</f>
        <v>0</v>
      </c>
      <c r="BP13" s="175">
        <f>IF(BP10=AA12,1,0)</f>
        <v>0</v>
      </c>
      <c r="CG13" s="173"/>
    </row>
    <row r="14" spans="1:85" ht="12" customHeight="1" x14ac:dyDescent="0.2">
      <c r="B14" s="167" t="s">
        <v>295</v>
      </c>
      <c r="C14" s="154" t="s">
        <v>34</v>
      </c>
      <c r="D14" s="232" t="str">
        <f>'Consumos TIPO'!$H$11</f>
        <v>VIVIENDA TIPO C</v>
      </c>
      <c r="E14" s="144">
        <f>'Consumos TIPO'!$K$11</f>
        <v>0</v>
      </c>
      <c r="F14" s="233">
        <f>IF(E14=0,0,'Consumos TIPO'!$P$36+'Consumos TIPO'!$P$37)</f>
        <v>0</v>
      </c>
      <c r="G14" s="234">
        <f>E14*F14</f>
        <v>0</v>
      </c>
      <c r="H14" s="208" t="str">
        <f>'Consumos TIPO'!$O$11</f>
        <v>Sala Solar</v>
      </c>
      <c r="I14" s="257">
        <f>'Consumos TIPO'!P11</f>
        <v>2.8506823718817231</v>
      </c>
      <c r="J14" s="235" t="str">
        <f>J13</f>
        <v>Viviendas</v>
      </c>
      <c r="K14" s="236">
        <f>Tablas!J47</f>
        <v>0.30000000000000004</v>
      </c>
      <c r="L14" s="210">
        <f>VLOOKUP(J14,Tablas!$I$60:$K$65,3,FALSE)</f>
        <v>1</v>
      </c>
      <c r="M14" s="210">
        <f>IF(G14&gt;20,3,IF(K14&lt;0.5,0,IF(G14&lt;=1,1,2)))</f>
        <v>0</v>
      </c>
      <c r="N14" s="210">
        <f t="shared" si="2"/>
        <v>1</v>
      </c>
      <c r="O14" s="210">
        <f t="shared" si="3"/>
        <v>1</v>
      </c>
      <c r="P14" s="210">
        <f>IF(J14=Tablas!I67,O14,N14)</f>
        <v>1</v>
      </c>
      <c r="Q14" s="210">
        <f>INDEX(Tablas!$E$59:$G$81,P14,1)</f>
        <v>0.68200000000000005</v>
      </c>
      <c r="R14" s="210">
        <f>INDEX(Tablas!$E$59:$G$81,P14,2)</f>
        <v>0.45</v>
      </c>
      <c r="S14" s="211">
        <f>INDEX(Tablas!$E$59:$G$81,P14,3)</f>
        <v>-0.14000000000000001</v>
      </c>
      <c r="T14" s="212"/>
      <c r="U14" s="237">
        <f>IF(G14=0,0,POWER(G14,R14)*Q14+S14)</f>
        <v>0</v>
      </c>
      <c r="V14" s="234">
        <f>IF(G14=0,0,U14/G14)</f>
        <v>0</v>
      </c>
      <c r="X14" s="238" t="s">
        <v>312</v>
      </c>
      <c r="Y14" s="462" t="s">
        <v>175</v>
      </c>
      <c r="Z14" s="462"/>
      <c r="AA14" s="462"/>
      <c r="AB14" s="462"/>
      <c r="AC14" s="463"/>
      <c r="AE14" s="172"/>
      <c r="AF14" s="172"/>
      <c r="AG14" s="172"/>
      <c r="AH14" s="172"/>
      <c r="AI14" s="172"/>
      <c r="AN14" s="174"/>
      <c r="BC14" s="175">
        <f>BC13*(B16+C16)</f>
        <v>0</v>
      </c>
      <c r="BD14" s="175">
        <f>BD13*(B16+C16)</f>
        <v>0</v>
      </c>
      <c r="BE14" s="175">
        <f>BE13*(B16+C16)</f>
        <v>0</v>
      </c>
      <c r="BF14" s="175">
        <f>BF13*(B16+C16)</f>
        <v>0</v>
      </c>
      <c r="BG14" s="175">
        <f>BG13*(B16+C16)</f>
        <v>0</v>
      </c>
      <c r="BH14" s="175">
        <f>BH13*(B16+C16)</f>
        <v>0</v>
      </c>
      <c r="BI14" s="175">
        <f>BI13*(B16+C16)</f>
        <v>22</v>
      </c>
      <c r="BJ14" s="175">
        <f>BJ13*(B16+C16)</f>
        <v>0</v>
      </c>
      <c r="BK14" s="175">
        <f>BK13*(B16+C16)</f>
        <v>0</v>
      </c>
      <c r="BL14" s="175">
        <f>BL13*(B16+C16)</f>
        <v>0</v>
      </c>
      <c r="BM14" s="175">
        <f>BM13*(B16+C16)</f>
        <v>0</v>
      </c>
      <c r="BN14" s="175">
        <f>BN13*(B16+C16)</f>
        <v>0</v>
      </c>
      <c r="BO14" s="175">
        <f>BO13*(B16+C16)</f>
        <v>0</v>
      </c>
      <c r="BP14" s="175">
        <f>BP13*(B16+C16)</f>
        <v>0</v>
      </c>
      <c r="CG14" s="173"/>
    </row>
    <row r="15" spans="1:85" ht="12" customHeight="1" thickBot="1" x14ac:dyDescent="0.25">
      <c r="B15" s="168" t="s">
        <v>296</v>
      </c>
      <c r="C15" s="169" t="s">
        <v>297</v>
      </c>
      <c r="D15" s="232" t="str">
        <f>'Consumos TIPO'!$H$12</f>
        <v>VIVIENDA TIPO D</v>
      </c>
      <c r="E15" s="144">
        <f>'Consumos TIPO'!$K$12</f>
        <v>0</v>
      </c>
      <c r="F15" s="233">
        <f>IF(E15=0,0,'Consumos TIPO'!$U$36+'Consumos TIPO'!$U$37)</f>
        <v>0</v>
      </c>
      <c r="G15" s="234">
        <f>E15*F15</f>
        <v>0</v>
      </c>
      <c r="H15" s="208" t="str">
        <f>'Consumos TIPO'!$O$12</f>
        <v>Piscina</v>
      </c>
      <c r="I15" s="257">
        <v>0</v>
      </c>
      <c r="J15" s="235" t="str">
        <f>J14</f>
        <v>Viviendas</v>
      </c>
      <c r="K15" s="236">
        <f>Tablas!M47</f>
        <v>0.4</v>
      </c>
      <c r="L15" s="210">
        <f>VLOOKUP(J15,Tablas!$I$60:$K$65,3,FALSE)</f>
        <v>1</v>
      </c>
      <c r="M15" s="210">
        <f>IF(G15&gt;20,3,IF(K15&lt;0.5,0,IF(G15&lt;=1,1,2)))</f>
        <v>0</v>
      </c>
      <c r="N15" s="210">
        <f t="shared" si="2"/>
        <v>1</v>
      </c>
      <c r="O15" s="210">
        <f t="shared" si="3"/>
        <v>1</v>
      </c>
      <c r="P15" s="210">
        <f>IF(J15=Tablas!I68,O15,N15)</f>
        <v>1</v>
      </c>
      <c r="Q15" s="210">
        <f>INDEX(Tablas!$E$59:$G$81,P15,1)</f>
        <v>0.68200000000000005</v>
      </c>
      <c r="R15" s="210">
        <f>INDEX(Tablas!$E$59:$G$81,P15,2)</f>
        <v>0.45</v>
      </c>
      <c r="S15" s="211">
        <f>INDEX(Tablas!$E$59:$G$81,P15,3)</f>
        <v>-0.14000000000000001</v>
      </c>
      <c r="T15" s="212"/>
      <c r="U15" s="237">
        <f>IF(G15=0,0,POWER(G15,R15)*Q15+S15)</f>
        <v>0</v>
      </c>
      <c r="V15" s="234">
        <f>IF(G15=0,0,U15/G15)</f>
        <v>0</v>
      </c>
      <c r="X15" s="239" t="s">
        <v>313</v>
      </c>
      <c r="Y15" s="466" t="s">
        <v>95</v>
      </c>
      <c r="Z15" s="466"/>
      <c r="AA15" s="466"/>
      <c r="AB15" s="466"/>
      <c r="AC15" s="467"/>
      <c r="AE15" s="172"/>
      <c r="AF15" s="172"/>
      <c r="AG15" s="172"/>
      <c r="AH15" s="172"/>
      <c r="AI15" s="172"/>
      <c r="AN15" s="174"/>
      <c r="BC15" s="229"/>
      <c r="BL15" s="175"/>
      <c r="BM15" s="175"/>
      <c r="BN15" s="175"/>
      <c r="BO15" s="175"/>
      <c r="BP15" s="175"/>
    </row>
    <row r="16" spans="1:85" ht="12" customHeight="1" thickBot="1" x14ac:dyDescent="0.25">
      <c r="B16" s="142">
        <v>19</v>
      </c>
      <c r="C16" s="143">
        <v>3</v>
      </c>
      <c r="D16" s="240" t="str">
        <f>'Consumos TIPO'!$H$13</f>
        <v>VIVIENDA TIPO E</v>
      </c>
      <c r="E16" s="149">
        <f>'Consumos TIPO'!$K$13</f>
        <v>0</v>
      </c>
      <c r="F16" s="241">
        <f>IF(E16=0,0,'Consumos TIPO'!$Z$36+'Consumos TIPO'!$Z$37)</f>
        <v>0</v>
      </c>
      <c r="G16" s="242">
        <f>E16*F16</f>
        <v>0</v>
      </c>
      <c r="H16" s="243" t="str">
        <f>'Consumos TIPO'!$O$13</f>
        <v>Vestuarios</v>
      </c>
      <c r="I16" s="258">
        <f>'Consumos TIPO'!$Q$13</f>
        <v>0</v>
      </c>
      <c r="J16" s="235" t="str">
        <f>J15</f>
        <v>Viviendas</v>
      </c>
      <c r="K16" s="236">
        <f>Tablas!P47</f>
        <v>0.3</v>
      </c>
      <c r="L16" s="210">
        <f>VLOOKUP(J16,Tablas!$I$60:$K$65,3,FALSE)</f>
        <v>1</v>
      </c>
      <c r="M16" s="210">
        <f>IF(G16&gt;20,3,IF(K16&lt;0.5,0,IF(G16&lt;=1,1,2)))</f>
        <v>0</v>
      </c>
      <c r="N16" s="210">
        <f t="shared" si="2"/>
        <v>1</v>
      </c>
      <c r="O16" s="210">
        <f t="shared" si="3"/>
        <v>1</v>
      </c>
      <c r="P16" s="210">
        <f>IF(J16=Tablas!I69,O16,N16)</f>
        <v>1</v>
      </c>
      <c r="Q16" s="210">
        <f>INDEX(Tablas!$E$59:$G$81,P16,1)</f>
        <v>0.68200000000000005</v>
      </c>
      <c r="R16" s="210">
        <f>INDEX(Tablas!$E$59:$G$81,P16,2)</f>
        <v>0.45</v>
      </c>
      <c r="S16" s="211">
        <f>INDEX(Tablas!$E$59:$G$81,P16,3)</f>
        <v>-0.14000000000000001</v>
      </c>
      <c r="T16" s="212"/>
      <c r="U16" s="244">
        <f>IF(G16=0,0,POWER(G16,R16)*Q16+S16)</f>
        <v>0</v>
      </c>
      <c r="V16" s="242">
        <f>IF(G16=0,0,U16/G16)</f>
        <v>0</v>
      </c>
      <c r="X16" s="461" t="str">
        <f>IF(INDEX(Tablas!$C$88:$I$93,MATCH(Y14,Tablas!$L$88:$L$93,0),MATCH(Y15,serie,0))="SI","","La serie no existe en el materail seleccionado")</f>
        <v/>
      </c>
      <c r="Y16" s="461"/>
      <c r="Z16" s="461"/>
      <c r="AA16" s="461"/>
      <c r="AB16" s="461"/>
      <c r="AC16" s="245"/>
      <c r="AE16" s="172"/>
      <c r="AF16" s="172"/>
      <c r="AG16" s="172"/>
      <c r="AH16" s="172"/>
      <c r="AI16" s="172"/>
      <c r="AN16" s="174"/>
      <c r="BL16" s="175"/>
      <c r="BM16" s="175"/>
      <c r="BN16" s="175"/>
      <c r="BO16" s="175"/>
      <c r="BP16" s="175"/>
    </row>
    <row r="17" spans="3:68" ht="12" customHeight="1" thickBot="1" x14ac:dyDescent="0.25">
      <c r="C17" s="172"/>
      <c r="D17" s="246"/>
      <c r="E17" s="247">
        <f>SUM(E12:E16)</f>
        <v>25</v>
      </c>
      <c r="F17" s="248" t="s">
        <v>160</v>
      </c>
      <c r="G17" s="249">
        <f>SUM(G12:G16)</f>
        <v>42.25</v>
      </c>
      <c r="I17" s="250">
        <f>SUM(I12:I16)</f>
        <v>2.8506823718817231</v>
      </c>
      <c r="J17" s="251" t="str">
        <f>J12</f>
        <v>Viviendas</v>
      </c>
      <c r="K17" s="252">
        <f>IF(E17=1,MAX(K12:K16),MAX(F12:F16,I12:I16))</f>
        <v>2.8506823718817231</v>
      </c>
      <c r="L17" s="252">
        <f>VLOOKUP(J17,Tablas!$I$60:$K$65,3,FALSE)</f>
        <v>1</v>
      </c>
      <c r="M17" s="252">
        <f>IF(G17&gt;20,3,IF(K17&lt;0.5,0,IF(G16&lt;=1,1,2)))</f>
        <v>3</v>
      </c>
      <c r="N17" s="252">
        <f t="shared" si="2"/>
        <v>4</v>
      </c>
      <c r="O17" s="252">
        <f t="shared" si="3"/>
        <v>3</v>
      </c>
      <c r="P17" s="252">
        <f>IF(J17=Tablas!I69,O17,N17)</f>
        <v>4</v>
      </c>
      <c r="Q17" s="252">
        <f>INDEX(Tablas!$E$59:$G$81,P17,1)</f>
        <v>1.7</v>
      </c>
      <c r="R17" s="252">
        <f>INDEX(Tablas!$E$59:$G$81,P17,2)</f>
        <v>0.21</v>
      </c>
      <c r="S17" s="252">
        <f>INDEX(Tablas!$E$59:$G$81,P17,3)</f>
        <v>-0.7</v>
      </c>
      <c r="T17" s="253">
        <f>G17+I17</f>
        <v>45.100682371881724</v>
      </c>
      <c r="U17" s="253">
        <f>IF(T17=0,0,POWER(T17,R17)*Q17+S17)</f>
        <v>3.0829218988623595</v>
      </c>
      <c r="V17" s="254">
        <f>IF(T17=0,0,U17/T17)</f>
        <v>6.8356435794958717E-2</v>
      </c>
      <c r="X17" s="172"/>
      <c r="Y17" s="172"/>
      <c r="Z17" s="172"/>
      <c r="AA17" s="172"/>
      <c r="AB17" s="172"/>
      <c r="AC17" s="172"/>
      <c r="AE17" s="172"/>
      <c r="AF17" s="172"/>
      <c r="AG17" s="172"/>
      <c r="AH17" s="172"/>
      <c r="AI17" s="172"/>
      <c r="AN17" s="174"/>
      <c r="BL17" s="175"/>
      <c r="BM17" s="175"/>
      <c r="BN17" s="175"/>
      <c r="BO17" s="175"/>
      <c r="BP17" s="175"/>
    </row>
  </sheetData>
  <sheetProtection algorithmName="SHA-512" hashValue="EeF4MBv5SiHr5OXGNJSEgpOIrjtVyyU8SwAH54KDlDLV+Xu64RPba6gRcCS38/7tKGKEfM4GYYorgK53Nna4bQ==" saltValue="+lxt2q4X/NM5AnHGO/DNjQ==" spinCount="100000" sheet="1" objects="1" scenarios="1"/>
  <mergeCells count="11">
    <mergeCell ref="X16:AB16"/>
    <mergeCell ref="Y14:AC14"/>
    <mergeCell ref="B10:C10"/>
    <mergeCell ref="Y15:AC15"/>
    <mergeCell ref="B12:C12"/>
    <mergeCell ref="F2:H2"/>
    <mergeCell ref="B9:C9"/>
    <mergeCell ref="B2:C2"/>
    <mergeCell ref="B5:C5"/>
    <mergeCell ref="B4:C4"/>
    <mergeCell ref="B6:C6"/>
  </mergeCells>
  <conditionalFormatting sqref="AC12 AE12">
    <cfRule type="cellIs" dxfId="11" priority="616" stopIfTrue="1" operator="greaterThan">
      <formula>3</formula>
    </cfRule>
  </conditionalFormatting>
  <conditionalFormatting sqref="AM12">
    <cfRule type="cellIs" dxfId="10" priority="612" stopIfTrue="1" operator="greaterThan">
      <formula>5</formula>
    </cfRule>
    <cfRule type="cellIs" dxfId="9" priority="613" stopIfTrue="1" operator="lessThan">
      <formula>1</formula>
    </cfRule>
  </conditionalFormatting>
  <conditionalFormatting sqref="X16">
    <cfRule type="cellIs" dxfId="8" priority="611" stopIfTrue="1" operator="equal">
      <formula>"La serie no existe en el materail seleccionado"</formula>
    </cfRule>
  </conditionalFormatting>
  <dataValidations count="5">
    <dataValidation type="list" allowBlank="1" showInputMessage="1" showErrorMessage="1" sqref="Y14" xr:uid="{00000000-0002-0000-0200-000000000000}">
      <formula1>tipos</formula1>
    </dataValidation>
    <dataValidation type="list" allowBlank="1" showInputMessage="1" showErrorMessage="1" sqref="AA12" xr:uid="{00000000-0002-0000-0200-000001000000}">
      <formula1>diametros</formula1>
    </dataValidation>
    <dataValidation type="list" allowBlank="1" showInputMessage="1" showErrorMessage="1" sqref="C14" xr:uid="{00000000-0002-0000-0200-000002000000}">
      <formula1>sn</formula1>
    </dataValidation>
    <dataValidation type="list" allowBlank="1" showInputMessage="1" showErrorMessage="1" sqref="AK12" xr:uid="{00000000-0002-0000-0200-000003000000}">
      <formula1>tramos</formula1>
    </dataValidation>
    <dataValidation type="list" allowBlank="1" showInputMessage="1" showErrorMessage="1" sqref="Y15:AC15" xr:uid="{00000000-0002-0000-0200-000004000000}">
      <formula1>IF(Y14="PP (Polipropileno)",pp,IF(Y14="PB (polibutileno)",pb,pex))</formula1>
    </dataValidation>
  </dataValidations>
  <pageMargins left="1.33" right="0.39370078740157483" top="0.46" bottom="0.59" header="0.19" footer="0"/>
  <pageSetup paperSize="9" scale="5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98" r:id="rId4" name="Button 54">
              <controlPr defaultSize="0" print="0" autoFill="0" autoPict="0" macro="[0]!copiaAF">
                <anchor moveWithCells="1" sizeWithCells="1">
                  <from>
                    <xdr:col>4</xdr:col>
                    <xdr:colOff>95250</xdr:colOff>
                    <xdr:row>2</xdr:row>
                    <xdr:rowOff>9525</xdr:rowOff>
                  </from>
                  <to>
                    <xdr:col>8</xdr:col>
                    <xdr:colOff>447675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" name="Button 55">
              <controlPr defaultSize="0" print="0" autoFill="0" autoPict="0" macro="[0]!BorrarAF">
                <anchor moveWithCells="1" sizeWithCells="1">
                  <from>
                    <xdr:col>7</xdr:col>
                    <xdr:colOff>57150</xdr:colOff>
                    <xdr:row>4</xdr:row>
                    <xdr:rowOff>85725</xdr:rowOff>
                  </from>
                  <to>
                    <xdr:col>8</xdr:col>
                    <xdr:colOff>447675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6" name="Button 158">
              <controlPr defaultSize="0" print="0" autoFill="0" autoPict="0" macro="[0]!BorraultimoAF">
                <anchor moveWithCells="1" sizeWithCells="1">
                  <from>
                    <xdr:col>4</xdr:col>
                    <xdr:colOff>104775</xdr:colOff>
                    <xdr:row>4</xdr:row>
                    <xdr:rowOff>85725</xdr:rowOff>
                  </from>
                  <to>
                    <xdr:col>6</xdr:col>
                    <xdr:colOff>466725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theme="3" tint="-0.499984740745262"/>
  </sheetPr>
  <dimension ref="A2:AA43"/>
  <sheetViews>
    <sheetView zoomScale="90" zoomScaleNormal="90" workbookViewId="0">
      <selection activeCell="O2" sqref="O2:AA2"/>
    </sheetView>
  </sheetViews>
  <sheetFormatPr baseColWidth="10" defaultRowHeight="15" x14ac:dyDescent="0.25"/>
  <cols>
    <col min="1" max="1" width="3.7109375" style="80" customWidth="1"/>
    <col min="2" max="2" width="25.7109375" style="80" customWidth="1"/>
    <col min="3" max="4" width="11.42578125" style="80"/>
    <col min="5" max="5" width="11.85546875" style="80" bestFit="1" customWidth="1"/>
    <col min="6" max="6" width="11.42578125" style="80"/>
    <col min="7" max="7" width="1.7109375" style="80" customWidth="1"/>
    <col min="8" max="12" width="11.42578125" style="80"/>
    <col min="13" max="13" width="16.7109375" style="80" customWidth="1"/>
    <col min="14" max="14" width="14.7109375" style="80" customWidth="1"/>
    <col min="15" max="15" width="5.7109375" style="80" customWidth="1"/>
    <col min="16" max="32" width="4.7109375" style="80" customWidth="1"/>
    <col min="33" max="16384" width="11.42578125" style="80"/>
  </cols>
  <sheetData>
    <row r="2" spans="1:27" s="101" customFormat="1" ht="20.100000000000001" customHeight="1" x14ac:dyDescent="0.25">
      <c r="B2" s="262" t="s">
        <v>328</v>
      </c>
      <c r="D2" s="101" t="s">
        <v>340</v>
      </c>
      <c r="M2" s="304" t="s">
        <v>344</v>
      </c>
      <c r="O2" s="470" t="s">
        <v>345</v>
      </c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</row>
    <row r="3" spans="1:27" x14ac:dyDescent="0.25">
      <c r="M3" s="80" t="s">
        <v>329</v>
      </c>
    </row>
    <row r="4" spans="1:27" x14ac:dyDescent="0.25">
      <c r="B4" s="103" t="s">
        <v>326</v>
      </c>
      <c r="C4" s="283">
        <f>SUM('Consumos TIPO'!K9:K13)</f>
        <v>25</v>
      </c>
    </row>
    <row r="5" spans="1:27" x14ac:dyDescent="0.25">
      <c r="B5" s="103" t="s">
        <v>212</v>
      </c>
      <c r="C5" s="286">
        <f>'Consumos TIPO'!D13</f>
        <v>3.1377714463379558</v>
      </c>
      <c r="D5" s="289">
        <f>C5*60</f>
        <v>188.26628678027734</v>
      </c>
      <c r="E5" s="288">
        <f>D5*0.06</f>
        <v>11.295977206816641</v>
      </c>
      <c r="N5" s="274"/>
    </row>
    <row r="6" spans="1:27" x14ac:dyDescent="0.25">
      <c r="A6" s="265"/>
      <c r="B6" s="265"/>
      <c r="C6" s="265"/>
      <c r="D6" s="288"/>
      <c r="E6" s="289"/>
      <c r="N6" s="274"/>
    </row>
    <row r="7" spans="1:27" x14ac:dyDescent="0.25">
      <c r="B7" s="103" t="s">
        <v>213</v>
      </c>
      <c r="C7" s="263">
        <f ca="1">'Tramos AF'!D6</f>
        <v>6.3225183403377896</v>
      </c>
      <c r="D7" s="290"/>
      <c r="E7" s="292">
        <f ca="1">C7/$C$12</f>
        <v>0.16650303025212024</v>
      </c>
    </row>
    <row r="8" spans="1:27" x14ac:dyDescent="0.25">
      <c r="B8" s="103" t="s">
        <v>214</v>
      </c>
      <c r="C8" s="294">
        <f>'Tramos AF'!$D$2</f>
        <v>17</v>
      </c>
      <c r="D8" s="290"/>
      <c r="E8" s="292">
        <f t="shared" ref="E8:E10" ca="1" si="0">C8/$C$12</f>
        <v>0.44769368183988817</v>
      </c>
    </row>
    <row r="9" spans="1:27" x14ac:dyDescent="0.25">
      <c r="B9" s="103" t="s">
        <v>215</v>
      </c>
      <c r="C9" s="285">
        <v>1</v>
      </c>
      <c r="D9" s="291">
        <f>C9*100/9.806</f>
        <v>10.197838058331634</v>
      </c>
      <c r="E9" s="292">
        <f ca="1">D9/$C$12</f>
        <v>0.26855927453773087</v>
      </c>
    </row>
    <row r="10" spans="1:27" x14ac:dyDescent="0.25">
      <c r="B10" s="103" t="s">
        <v>216</v>
      </c>
      <c r="C10" s="284">
        <v>1</v>
      </c>
      <c r="D10" s="290"/>
      <c r="E10" s="292">
        <f t="shared" ca="1" si="0"/>
        <v>2.6334922461169891E-2</v>
      </c>
    </row>
    <row r="11" spans="1:27" x14ac:dyDescent="0.25">
      <c r="B11" s="103" t="s">
        <v>217</v>
      </c>
      <c r="C11" s="100">
        <v>1.1000000000000001</v>
      </c>
      <c r="D11" s="290"/>
      <c r="E11" s="275"/>
    </row>
    <row r="12" spans="1:27" x14ac:dyDescent="0.25">
      <c r="B12" s="103" t="s">
        <v>242</v>
      </c>
      <c r="C12" s="264">
        <f ca="1">(C7+C8+D9+C10)*C11</f>
        <v>37.972392038536363</v>
      </c>
      <c r="D12" s="287">
        <f ca="1">C12*9.806/100</f>
        <v>3.7235727632988755</v>
      </c>
      <c r="E12" s="276"/>
    </row>
    <row r="13" spans="1:27" x14ac:dyDescent="0.25">
      <c r="C13" s="83"/>
      <c r="D13" s="83"/>
      <c r="E13" s="275"/>
    </row>
    <row r="14" spans="1:27" x14ac:dyDescent="0.25">
      <c r="A14" s="262"/>
      <c r="B14" s="262" t="s">
        <v>341</v>
      </c>
      <c r="C14" s="262"/>
      <c r="D14" s="262"/>
      <c r="E14" s="262"/>
    </row>
    <row r="15" spans="1:27" ht="6.95" customHeight="1" x14ac:dyDescent="0.25"/>
    <row r="16" spans="1:27" x14ac:dyDescent="0.25">
      <c r="B16" s="103" t="s">
        <v>222</v>
      </c>
      <c r="C16" s="266">
        <f>15*C5*60</f>
        <v>2823.9943017041601</v>
      </c>
      <c r="D16" s="83"/>
    </row>
    <row r="17" spans="1:13" x14ac:dyDescent="0.25">
      <c r="B17" s="103" t="s">
        <v>221</v>
      </c>
      <c r="C17" s="266">
        <f>20*C5*60</f>
        <v>3765.3257356055469</v>
      </c>
      <c r="D17" s="83"/>
    </row>
    <row r="18" spans="1:13" x14ac:dyDescent="0.25">
      <c r="C18" s="83"/>
      <c r="D18" s="83"/>
      <c r="H18" s="471" t="s">
        <v>246</v>
      </c>
      <c r="I18" s="472"/>
    </row>
    <row r="19" spans="1:13" x14ac:dyDescent="0.25">
      <c r="A19" s="262"/>
      <c r="B19" s="262" t="s">
        <v>241</v>
      </c>
      <c r="C19" s="262" t="s">
        <v>261</v>
      </c>
      <c r="D19" s="262"/>
      <c r="E19" s="262"/>
      <c r="H19" s="277" t="s">
        <v>248</v>
      </c>
      <c r="I19" s="277" t="s">
        <v>247</v>
      </c>
    </row>
    <row r="20" spans="1:13" ht="6.95" customHeight="1" x14ac:dyDescent="0.25"/>
    <row r="21" spans="1:13" x14ac:dyDescent="0.25">
      <c r="B21" s="103" t="s">
        <v>327</v>
      </c>
      <c r="C21" s="266">
        <f>('Consumos TIPO'!K14-1)*50+100</f>
        <v>1300</v>
      </c>
      <c r="D21" s="83"/>
      <c r="H21" s="277">
        <v>12</v>
      </c>
      <c r="I21" s="278">
        <f>'Tramos AF'!T4</f>
        <v>0</v>
      </c>
    </row>
    <row r="22" spans="1:13" x14ac:dyDescent="0.25">
      <c r="C22" s="83"/>
      <c r="D22" s="83"/>
      <c r="H22" s="277">
        <v>16</v>
      </c>
      <c r="I22" s="278">
        <f>'Tramos AF'!U4</f>
        <v>0</v>
      </c>
      <c r="M22" s="80" t="s">
        <v>330</v>
      </c>
    </row>
    <row r="23" spans="1:13" x14ac:dyDescent="0.25">
      <c r="A23" s="262"/>
      <c r="B23" s="262" t="s">
        <v>254</v>
      </c>
      <c r="C23" s="262"/>
      <c r="D23" s="262"/>
      <c r="E23" s="262"/>
      <c r="H23" s="277">
        <v>20</v>
      </c>
      <c r="I23" s="278">
        <f>'Tramos AF'!V4</f>
        <v>0</v>
      </c>
    </row>
    <row r="24" spans="1:13" ht="6.95" customHeight="1" x14ac:dyDescent="0.25">
      <c r="B24" s="98"/>
      <c r="C24" s="98"/>
      <c r="D24" s="83"/>
      <c r="H24" s="83"/>
      <c r="I24" s="279"/>
    </row>
    <row r="25" spans="1:13" x14ac:dyDescent="0.25">
      <c r="B25" s="103" t="s">
        <v>219</v>
      </c>
      <c r="C25" s="283">
        <v>2</v>
      </c>
      <c r="D25" s="296" t="s">
        <v>253</v>
      </c>
      <c r="E25" s="280">
        <f>IF(C5&lt;10,2,IF(C5&lt;30,3,4))</f>
        <v>2</v>
      </c>
      <c r="H25" s="277">
        <v>25</v>
      </c>
      <c r="I25" s="278">
        <f>'Tramos AF'!X4</f>
        <v>0</v>
      </c>
    </row>
    <row r="26" spans="1:13" x14ac:dyDescent="0.25">
      <c r="B26" s="103" t="s">
        <v>220</v>
      </c>
      <c r="C26" s="270">
        <f>IF(C5&lt;=3,IF(C34&lt;=4,0),1)</f>
        <v>1</v>
      </c>
      <c r="D26" s="295" t="s">
        <v>343</v>
      </c>
      <c r="H26" s="277">
        <v>32</v>
      </c>
      <c r="I26" s="278">
        <f>'Tramos AF'!Y4</f>
        <v>0</v>
      </c>
    </row>
    <row r="27" spans="1:13" ht="6.95" customHeight="1" x14ac:dyDescent="0.25">
      <c r="B27" s="98"/>
      <c r="C27" s="98"/>
      <c r="D27" s="297"/>
    </row>
    <row r="28" spans="1:13" x14ac:dyDescent="0.25">
      <c r="B28" s="103" t="s">
        <v>218</v>
      </c>
      <c r="C28" s="267">
        <f ca="1">(C7+C8+D9+C10)*C11</f>
        <v>37.972392038536363</v>
      </c>
      <c r="D28" s="298">
        <f ca="1">C28*9.806/100</f>
        <v>3.7235727632988755</v>
      </c>
      <c r="E28" s="281"/>
      <c r="H28" s="277">
        <v>40</v>
      </c>
      <c r="I28" s="278">
        <f>'Tramos AF'!Z4</f>
        <v>0</v>
      </c>
    </row>
    <row r="29" spans="1:13" x14ac:dyDescent="0.25">
      <c r="B29" s="103" t="s">
        <v>224</v>
      </c>
      <c r="C29" s="268">
        <f ca="1">C28+(3*100/9.806)</f>
        <v>68.565906213531264</v>
      </c>
      <c r="D29" s="298">
        <f ca="1">C29*9.806/100</f>
        <v>6.7235727632988755</v>
      </c>
      <c r="E29" s="281"/>
      <c r="H29" s="277">
        <v>50</v>
      </c>
      <c r="I29" s="278">
        <f>'Tramos AF'!AA4</f>
        <v>22</v>
      </c>
    </row>
    <row r="30" spans="1:13" x14ac:dyDescent="0.25">
      <c r="B30" s="103" t="s">
        <v>229</v>
      </c>
      <c r="C30" s="271">
        <f>C5*0.6</f>
        <v>1.8826628678027735</v>
      </c>
      <c r="D30" s="299">
        <f>C30*3.6</f>
        <v>6.7775863240899845</v>
      </c>
      <c r="E30" s="289">
        <f>C30*60</f>
        <v>112.95977206816642</v>
      </c>
      <c r="H30" s="277">
        <v>63</v>
      </c>
      <c r="I30" s="278">
        <f>'Tramos AF'!AB4</f>
        <v>0</v>
      </c>
    </row>
    <row r="31" spans="1:13" ht="6.95" customHeight="1" x14ac:dyDescent="0.25">
      <c r="A31" s="273"/>
      <c r="B31" s="273"/>
      <c r="C31" s="273"/>
      <c r="D31" s="300"/>
      <c r="E31" s="273"/>
      <c r="H31" s="83"/>
      <c r="I31" s="279"/>
    </row>
    <row r="32" spans="1:13" x14ac:dyDescent="0.25">
      <c r="B32" s="103" t="s">
        <v>332</v>
      </c>
      <c r="C32" s="269">
        <v>0.6</v>
      </c>
      <c r="D32" s="300">
        <f>D5*C32</f>
        <v>112.9597720681664</v>
      </c>
      <c r="E32" s="281"/>
      <c r="H32" s="277">
        <v>75</v>
      </c>
      <c r="I32" s="278">
        <f>'Tramos AF'!AC4</f>
        <v>0</v>
      </c>
    </row>
    <row r="33" spans="1:13" x14ac:dyDescent="0.25">
      <c r="B33" s="103" t="s">
        <v>217</v>
      </c>
      <c r="C33" s="270">
        <v>1.1000000000000001</v>
      </c>
      <c r="D33" s="295"/>
      <c r="E33" s="281"/>
      <c r="H33" s="277">
        <v>90</v>
      </c>
      <c r="I33" s="278">
        <f>'Tramos AF'!AE4</f>
        <v>0</v>
      </c>
    </row>
    <row r="34" spans="1:13" x14ac:dyDescent="0.25">
      <c r="B34" s="103" t="s">
        <v>230</v>
      </c>
      <c r="C34" s="282">
        <f>C33*(D30*(D9+C8)*1)/(367*C32)</f>
        <v>0.92084134784677041</v>
      </c>
      <c r="D34" s="301">
        <f>C34/0.736</f>
        <v>1.2511431356613729</v>
      </c>
      <c r="E34" s="281"/>
      <c r="H34" s="277">
        <v>110</v>
      </c>
      <c r="I34" s="278">
        <f>'Tramos AF'!AF4</f>
        <v>0</v>
      </c>
    </row>
    <row r="35" spans="1:13" x14ac:dyDescent="0.25">
      <c r="H35" s="277">
        <v>125</v>
      </c>
      <c r="I35" s="278">
        <f>'Tramos AF'!AG4</f>
        <v>0</v>
      </c>
    </row>
    <row r="36" spans="1:13" x14ac:dyDescent="0.25">
      <c r="A36" s="262"/>
      <c r="B36" s="262" t="s">
        <v>339</v>
      </c>
      <c r="C36" s="262" t="s">
        <v>342</v>
      </c>
      <c r="D36" s="262"/>
      <c r="E36" s="262"/>
      <c r="H36" s="277">
        <v>140</v>
      </c>
      <c r="I36" s="278">
        <f>'Tramos AF'!AH4</f>
        <v>0</v>
      </c>
    </row>
    <row r="37" spans="1:13" ht="6.95" customHeight="1" x14ac:dyDescent="0.25">
      <c r="B37" s="98"/>
      <c r="C37" s="98"/>
      <c r="D37" s="83"/>
    </row>
    <row r="38" spans="1:13" x14ac:dyDescent="0.25">
      <c r="B38" s="103" t="s">
        <v>333</v>
      </c>
      <c r="C38" s="272">
        <f ca="1">MAX(200,(900*C5*(D28+3+1))/(4*35*(D29-D28)*(C25+C26)))</f>
        <v>200</v>
      </c>
      <c r="D38" s="281" t="s">
        <v>334</v>
      </c>
      <c r="H38" s="277">
        <v>160</v>
      </c>
      <c r="I38" s="278">
        <f>'Tramos AF'!AI4</f>
        <v>0</v>
      </c>
    </row>
    <row r="39" spans="1:13" x14ac:dyDescent="0.25">
      <c r="I39" s="83"/>
    </row>
    <row r="40" spans="1:13" x14ac:dyDescent="0.25">
      <c r="I40" s="83"/>
    </row>
    <row r="42" spans="1:13" x14ac:dyDescent="0.25">
      <c r="B42" s="303" t="s">
        <v>335</v>
      </c>
      <c r="C42" s="281" t="s">
        <v>336</v>
      </c>
      <c r="D42" s="281"/>
      <c r="E42" s="281"/>
      <c r="F42" s="281"/>
      <c r="G42" s="281"/>
      <c r="H42" s="281"/>
      <c r="M42" s="80" t="s">
        <v>331</v>
      </c>
    </row>
    <row r="43" spans="1:13" x14ac:dyDescent="0.25">
      <c r="B43" s="281"/>
      <c r="C43" s="281" t="s">
        <v>337</v>
      </c>
      <c r="D43" s="281"/>
      <c r="E43" s="281"/>
      <c r="F43" s="281"/>
      <c r="G43" s="281"/>
      <c r="H43" s="281"/>
    </row>
  </sheetData>
  <sheetProtection algorithmName="SHA-512" hashValue="Q1nufGFQOAsVFsV1dO4xKwn2bhCKYzMalTBYQq1QmnJv/u9ZpyHpsYZezP1FXHdELwI0Z6N3hVeww4yQvPobqg==" saltValue="Ditt2chzrQB2DwEldIBK9A==" spinCount="100000" sheet="1" objects="1" scenarios="1" selectLockedCells="1"/>
  <mergeCells count="2">
    <mergeCell ref="O2:AA2"/>
    <mergeCell ref="H18:I18"/>
  </mergeCells>
  <conditionalFormatting sqref="C25">
    <cfRule type="cellIs" dxfId="7" priority="1" operator="lessThan">
      <formula>$E$25</formula>
    </cfRule>
  </conditionalFormatting>
  <hyperlinks>
    <hyperlink ref="O2" r:id="rId1" xr:uid="{00000000-0004-0000-0300-000000000000}"/>
  </hyperlinks>
  <pageMargins left="0.7" right="0.7" top="0.75" bottom="0.75" header="0.3" footer="0.3"/>
  <pageSetup paperSize="9" orientation="portrait" r:id="rId2"/>
  <rowBreaks count="1" manualBreakCount="1">
    <brk id="39" max="5" man="1"/>
  </rowBreaks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L29"/>
  <sheetViews>
    <sheetView workbookViewId="0">
      <selection activeCell="E9" sqref="E9"/>
    </sheetView>
  </sheetViews>
  <sheetFormatPr baseColWidth="10" defaultRowHeight="12.75" x14ac:dyDescent="0.2"/>
  <cols>
    <col min="1" max="1" width="12.85546875" style="35" customWidth="1"/>
    <col min="2" max="4" width="11.42578125" style="35"/>
    <col min="5" max="5" width="13.140625" style="35" customWidth="1"/>
    <col min="6" max="6" width="11.42578125" style="35"/>
    <col min="7" max="7" width="14.140625" style="35" customWidth="1"/>
    <col min="8" max="8" width="16.85546875" style="35" customWidth="1"/>
    <col min="9" max="9" width="11.28515625" style="36" customWidth="1"/>
    <col min="10" max="10" width="26.5703125" style="35" customWidth="1"/>
    <col min="11" max="11" width="12.7109375" style="35" customWidth="1"/>
    <col min="12" max="12" width="12.85546875" style="35" customWidth="1"/>
    <col min="13" max="16384" width="11.42578125" style="35"/>
  </cols>
  <sheetData>
    <row r="1" spans="1:12" x14ac:dyDescent="0.2">
      <c r="B1" s="54" t="s">
        <v>139</v>
      </c>
    </row>
    <row r="2" spans="1:12" x14ac:dyDescent="0.2">
      <c r="A2" s="52">
        <v>1</v>
      </c>
      <c r="B2" s="52">
        <v>2</v>
      </c>
      <c r="C2" s="52">
        <v>3</v>
      </c>
      <c r="D2" s="52">
        <v>4</v>
      </c>
      <c r="E2" s="52">
        <v>5</v>
      </c>
      <c r="F2" s="52">
        <v>6</v>
      </c>
      <c r="G2" s="52">
        <v>7</v>
      </c>
      <c r="H2" s="52">
        <v>8</v>
      </c>
      <c r="I2" s="53"/>
      <c r="L2" s="52">
        <v>1</v>
      </c>
    </row>
    <row r="3" spans="1:12" x14ac:dyDescent="0.2">
      <c r="A3" s="51" t="s">
        <v>132</v>
      </c>
      <c r="B3" s="46" t="s">
        <v>138</v>
      </c>
      <c r="C3" s="46" t="s">
        <v>137</v>
      </c>
      <c r="D3" s="46" t="s">
        <v>136</v>
      </c>
      <c r="E3" s="46" t="s">
        <v>136</v>
      </c>
      <c r="F3" s="46" t="s">
        <v>135</v>
      </c>
      <c r="G3" s="46" t="s">
        <v>134</v>
      </c>
      <c r="H3" s="46" t="s">
        <v>133</v>
      </c>
      <c r="I3" s="44" t="s">
        <v>132</v>
      </c>
      <c r="L3" s="51" t="s">
        <v>132</v>
      </c>
    </row>
    <row r="4" spans="1:12" x14ac:dyDescent="0.2">
      <c r="A4" s="49"/>
      <c r="B4" s="46" t="s">
        <v>131</v>
      </c>
      <c r="C4" s="46"/>
      <c r="D4" s="46" t="s">
        <v>130</v>
      </c>
      <c r="E4" s="46" t="s">
        <v>129</v>
      </c>
      <c r="F4" s="46" t="s">
        <v>128</v>
      </c>
      <c r="G4" s="46" t="s">
        <v>127</v>
      </c>
      <c r="H4" s="46" t="s">
        <v>126</v>
      </c>
      <c r="I4" s="50"/>
      <c r="J4" s="44"/>
      <c r="K4" s="44"/>
      <c r="L4" s="49"/>
    </row>
    <row r="5" spans="1:12" ht="18.75" x14ac:dyDescent="0.35">
      <c r="A5" s="46" t="s">
        <v>118</v>
      </c>
      <c r="B5" s="48" t="s">
        <v>125</v>
      </c>
      <c r="C5" s="48" t="s">
        <v>124</v>
      </c>
      <c r="D5" s="48" t="s">
        <v>112</v>
      </c>
      <c r="E5" s="48" t="s">
        <v>123</v>
      </c>
      <c r="F5" s="48" t="s">
        <v>122</v>
      </c>
      <c r="G5" s="46" t="s">
        <v>121</v>
      </c>
      <c r="H5" s="46" t="s">
        <v>45</v>
      </c>
      <c r="I5" s="44" t="s">
        <v>118</v>
      </c>
      <c r="J5" s="44" t="s">
        <v>120</v>
      </c>
      <c r="K5" s="47" t="s">
        <v>119</v>
      </c>
      <c r="L5" s="46" t="s">
        <v>118</v>
      </c>
    </row>
    <row r="6" spans="1:12" s="42" customFormat="1" ht="15" thickBot="1" x14ac:dyDescent="0.25">
      <c r="A6" s="43" t="s">
        <v>108</v>
      </c>
      <c r="B6" s="43" t="s">
        <v>117</v>
      </c>
      <c r="C6" s="43" t="s">
        <v>116</v>
      </c>
      <c r="D6" s="43" t="s">
        <v>115</v>
      </c>
      <c r="E6" s="69" t="s">
        <v>114</v>
      </c>
      <c r="F6" s="43" t="s">
        <v>113</v>
      </c>
      <c r="G6" s="43" t="s">
        <v>112</v>
      </c>
      <c r="H6" s="43" t="s">
        <v>111</v>
      </c>
      <c r="I6" s="45" t="s">
        <v>110</v>
      </c>
      <c r="J6" s="44" t="s">
        <v>109</v>
      </c>
      <c r="K6" s="44" t="s">
        <v>109</v>
      </c>
      <c r="L6" s="43" t="s">
        <v>108</v>
      </c>
    </row>
    <row r="7" spans="1:12" x14ac:dyDescent="0.2">
      <c r="A7" s="38">
        <v>0</v>
      </c>
      <c r="B7" s="38">
        <v>9806</v>
      </c>
      <c r="C7" s="41">
        <v>999.9</v>
      </c>
      <c r="D7" s="64">
        <v>1.792</v>
      </c>
      <c r="E7" s="70">
        <v>1.792</v>
      </c>
      <c r="F7" s="67">
        <v>7.62</v>
      </c>
      <c r="G7" s="40">
        <v>0.06</v>
      </c>
      <c r="H7" s="38">
        <v>204</v>
      </c>
      <c r="I7" s="38">
        <v>0</v>
      </c>
      <c r="J7" s="39">
        <f t="shared" ref="J7:J27" si="0">E7/$E$11</f>
        <v>1.7795431976166833</v>
      </c>
      <c r="K7" s="39">
        <f t="shared" ref="K7:K27" si="1">B7/$B$11</f>
        <v>1.001736643170906</v>
      </c>
      <c r="L7" s="38">
        <v>0</v>
      </c>
    </row>
    <row r="8" spans="1:12" x14ac:dyDescent="0.2">
      <c r="A8" s="38">
        <f t="shared" ref="A8:A27" si="2">A7+5</f>
        <v>5</v>
      </c>
      <c r="B8" s="38">
        <v>9807</v>
      </c>
      <c r="C8" s="41">
        <v>1000</v>
      </c>
      <c r="D8" s="64">
        <v>1.5189999999999999</v>
      </c>
      <c r="E8" s="71">
        <v>1.5189999999999999</v>
      </c>
      <c r="F8" s="67">
        <v>7.54</v>
      </c>
      <c r="G8" s="40">
        <v>0.09</v>
      </c>
      <c r="H8" s="38">
        <v>206</v>
      </c>
      <c r="I8" s="38">
        <f t="shared" ref="I8:I27" si="3">I7+5</f>
        <v>5</v>
      </c>
      <c r="J8" s="39">
        <f t="shared" si="0"/>
        <v>1.5084409136047667</v>
      </c>
      <c r="K8" s="39">
        <f t="shared" si="1"/>
        <v>1.0018387986515476</v>
      </c>
      <c r="L8" s="38">
        <f t="shared" ref="L8:L27" si="4">L7+5</f>
        <v>5</v>
      </c>
    </row>
    <row r="9" spans="1:12" s="74" customFormat="1" x14ac:dyDescent="0.2">
      <c r="A9" s="55">
        <f t="shared" si="2"/>
        <v>10</v>
      </c>
      <c r="B9" s="55">
        <v>9804</v>
      </c>
      <c r="C9" s="56">
        <v>999.7</v>
      </c>
      <c r="D9" s="66">
        <v>1.3080000000000001</v>
      </c>
      <c r="E9" s="72">
        <v>1.3080000000000001</v>
      </c>
      <c r="F9" s="68">
        <v>7.48</v>
      </c>
      <c r="G9" s="58">
        <v>0.12</v>
      </c>
      <c r="H9" s="55">
        <v>211</v>
      </c>
      <c r="I9" s="55">
        <f t="shared" si="3"/>
        <v>10</v>
      </c>
      <c r="J9" s="57">
        <f t="shared" si="0"/>
        <v>1.2989076464746774</v>
      </c>
      <c r="K9" s="57">
        <f t="shared" si="1"/>
        <v>1.001532332209623</v>
      </c>
      <c r="L9" s="55">
        <f t="shared" si="4"/>
        <v>10</v>
      </c>
    </row>
    <row r="10" spans="1:12" x14ac:dyDescent="0.2">
      <c r="A10" s="38">
        <f t="shared" si="2"/>
        <v>15</v>
      </c>
      <c r="B10" s="38">
        <v>9798</v>
      </c>
      <c r="C10" s="41">
        <v>999.1</v>
      </c>
      <c r="D10" s="64">
        <v>1.1399999999999999</v>
      </c>
      <c r="E10" s="71">
        <v>1.141</v>
      </c>
      <c r="F10" s="67">
        <v>7.41</v>
      </c>
      <c r="G10" s="40">
        <v>0.17</v>
      </c>
      <c r="H10" s="38">
        <v>214</v>
      </c>
      <c r="I10" s="38">
        <f t="shared" si="3"/>
        <v>15</v>
      </c>
      <c r="J10" s="39">
        <f t="shared" si="0"/>
        <v>1.1330685203574977</v>
      </c>
      <c r="K10" s="39">
        <f t="shared" si="1"/>
        <v>1.0009193993257739</v>
      </c>
      <c r="L10" s="38">
        <f t="shared" si="4"/>
        <v>15</v>
      </c>
    </row>
    <row r="11" spans="1:12" x14ac:dyDescent="0.2">
      <c r="A11" s="38">
        <f t="shared" si="2"/>
        <v>20</v>
      </c>
      <c r="B11" s="38">
        <v>9789</v>
      </c>
      <c r="C11" s="41">
        <v>998.2</v>
      </c>
      <c r="D11" s="64">
        <v>1.0049999999999999</v>
      </c>
      <c r="E11" s="71">
        <v>1.0069999999999999</v>
      </c>
      <c r="F11" s="67">
        <v>7.36</v>
      </c>
      <c r="G11" s="40">
        <v>0.25</v>
      </c>
      <c r="H11" s="38">
        <v>220</v>
      </c>
      <c r="I11" s="38">
        <f t="shared" si="3"/>
        <v>20</v>
      </c>
      <c r="J11" s="39">
        <f t="shared" si="0"/>
        <v>1</v>
      </c>
      <c r="K11" s="39">
        <f t="shared" si="1"/>
        <v>1</v>
      </c>
      <c r="L11" s="38">
        <f t="shared" si="4"/>
        <v>20</v>
      </c>
    </row>
    <row r="12" spans="1:12" x14ac:dyDescent="0.2">
      <c r="A12" s="55">
        <f t="shared" si="2"/>
        <v>25</v>
      </c>
      <c r="B12" s="55">
        <v>9778</v>
      </c>
      <c r="C12" s="56">
        <v>997.1</v>
      </c>
      <c r="D12" s="65">
        <v>0.89400000000000002</v>
      </c>
      <c r="E12" s="72">
        <v>0.89700000000000002</v>
      </c>
      <c r="F12" s="68">
        <v>7.26</v>
      </c>
      <c r="G12" s="58">
        <v>0.33</v>
      </c>
      <c r="H12" s="55">
        <v>222</v>
      </c>
      <c r="I12" s="55">
        <f t="shared" si="3"/>
        <v>25</v>
      </c>
      <c r="J12" s="57">
        <f t="shared" si="0"/>
        <v>0.89076464746772599</v>
      </c>
      <c r="K12" s="57">
        <f t="shared" si="1"/>
        <v>0.99887628971294307</v>
      </c>
      <c r="L12" s="55">
        <f t="shared" si="4"/>
        <v>25</v>
      </c>
    </row>
    <row r="13" spans="1:12" x14ac:dyDescent="0.2">
      <c r="A13" s="38">
        <f t="shared" si="2"/>
        <v>30</v>
      </c>
      <c r="B13" s="38">
        <v>9764</v>
      </c>
      <c r="C13" s="41">
        <v>995.7</v>
      </c>
      <c r="D13" s="64">
        <v>0.80100000000000005</v>
      </c>
      <c r="E13" s="71">
        <v>0.80400000000000005</v>
      </c>
      <c r="F13" s="67">
        <v>7.18</v>
      </c>
      <c r="G13" s="40">
        <v>0.44</v>
      </c>
      <c r="H13" s="38">
        <v>223</v>
      </c>
      <c r="I13" s="38">
        <f t="shared" si="3"/>
        <v>30</v>
      </c>
      <c r="J13" s="39">
        <f t="shared" si="0"/>
        <v>0.79841112214498522</v>
      </c>
      <c r="K13" s="39">
        <f t="shared" si="1"/>
        <v>0.99744611298396157</v>
      </c>
      <c r="L13" s="38">
        <f t="shared" si="4"/>
        <v>30</v>
      </c>
    </row>
    <row r="14" spans="1:12" x14ac:dyDescent="0.2">
      <c r="A14" s="38">
        <f t="shared" si="2"/>
        <v>35</v>
      </c>
      <c r="B14" s="38">
        <v>9749</v>
      </c>
      <c r="C14" s="41">
        <v>994.1</v>
      </c>
      <c r="D14" s="64">
        <v>0.72299999999999998</v>
      </c>
      <c r="E14" s="71">
        <v>0.72699999999999998</v>
      </c>
      <c r="F14" s="67">
        <v>7.1</v>
      </c>
      <c r="G14" s="40">
        <v>0.57999999999999996</v>
      </c>
      <c r="H14" s="38">
        <v>224</v>
      </c>
      <c r="I14" s="38">
        <f t="shared" si="3"/>
        <v>35</v>
      </c>
      <c r="J14" s="39">
        <f t="shared" si="0"/>
        <v>0.72194637537239326</v>
      </c>
      <c r="K14" s="39">
        <f t="shared" si="1"/>
        <v>0.99591378077433856</v>
      </c>
      <c r="L14" s="38">
        <f t="shared" si="4"/>
        <v>35</v>
      </c>
    </row>
    <row r="15" spans="1:12" x14ac:dyDescent="0.2">
      <c r="A15" s="38">
        <f t="shared" si="2"/>
        <v>40</v>
      </c>
      <c r="B15" s="38">
        <v>9730</v>
      </c>
      <c r="C15" s="41">
        <v>992.2</v>
      </c>
      <c r="D15" s="64">
        <v>0.65600000000000003</v>
      </c>
      <c r="E15" s="71">
        <v>0.66100000000000003</v>
      </c>
      <c r="F15" s="67">
        <v>7.01</v>
      </c>
      <c r="G15" s="40">
        <v>0.76</v>
      </c>
      <c r="H15" s="38">
        <v>227</v>
      </c>
      <c r="I15" s="38">
        <f t="shared" si="3"/>
        <v>40</v>
      </c>
      <c r="J15" s="39">
        <f t="shared" si="0"/>
        <v>0.65640516385302894</v>
      </c>
      <c r="K15" s="39">
        <f t="shared" si="1"/>
        <v>0.99397282664214937</v>
      </c>
      <c r="L15" s="38">
        <f t="shared" si="4"/>
        <v>40</v>
      </c>
    </row>
    <row r="16" spans="1:12" x14ac:dyDescent="0.2">
      <c r="A16" s="38">
        <f t="shared" si="2"/>
        <v>45</v>
      </c>
      <c r="B16" s="38">
        <v>9711</v>
      </c>
      <c r="C16" s="41">
        <v>990.2</v>
      </c>
      <c r="D16" s="64">
        <v>0.59899999999999998</v>
      </c>
      <c r="E16" s="71">
        <v>0.60499999999999998</v>
      </c>
      <c r="F16" s="67" t="s">
        <v>107</v>
      </c>
      <c r="G16" s="40">
        <v>0.98</v>
      </c>
      <c r="H16" s="38">
        <v>229</v>
      </c>
      <c r="I16" s="38">
        <f t="shared" si="3"/>
        <v>45</v>
      </c>
      <c r="J16" s="39">
        <f t="shared" si="0"/>
        <v>0.6007944389275075</v>
      </c>
      <c r="K16" s="39">
        <f t="shared" si="1"/>
        <v>0.99203187250996017</v>
      </c>
      <c r="L16" s="38">
        <f t="shared" si="4"/>
        <v>45</v>
      </c>
    </row>
    <row r="17" spans="1:12" x14ac:dyDescent="0.2">
      <c r="A17" s="38">
        <f t="shared" si="2"/>
        <v>50</v>
      </c>
      <c r="B17" s="38">
        <v>9690</v>
      </c>
      <c r="C17" s="41">
        <v>988.1</v>
      </c>
      <c r="D17" s="64">
        <v>0.54900000000000004</v>
      </c>
      <c r="E17" s="71">
        <v>0.55600000000000005</v>
      </c>
      <c r="F17" s="67">
        <v>6.82</v>
      </c>
      <c r="G17" s="40">
        <v>1.26</v>
      </c>
      <c r="H17" s="38">
        <v>230</v>
      </c>
      <c r="I17" s="38">
        <f t="shared" si="3"/>
        <v>50</v>
      </c>
      <c r="J17" s="39">
        <f t="shared" si="0"/>
        <v>0.55213505461767642</v>
      </c>
      <c r="K17" s="39">
        <f t="shared" si="1"/>
        <v>0.98988660741648793</v>
      </c>
      <c r="L17" s="38">
        <f t="shared" si="4"/>
        <v>50</v>
      </c>
    </row>
    <row r="18" spans="1:12" x14ac:dyDescent="0.2">
      <c r="A18" s="38">
        <f t="shared" si="2"/>
        <v>55</v>
      </c>
      <c r="B18" s="38">
        <v>9666</v>
      </c>
      <c r="C18" s="41">
        <v>985.7</v>
      </c>
      <c r="D18" s="64">
        <v>0.50600000000000001</v>
      </c>
      <c r="E18" s="71">
        <v>0.51300000000000001</v>
      </c>
      <c r="F18" s="67">
        <v>6.74</v>
      </c>
      <c r="G18" s="40">
        <v>1.61</v>
      </c>
      <c r="H18" s="38">
        <v>231</v>
      </c>
      <c r="I18" s="38">
        <f t="shared" si="3"/>
        <v>55</v>
      </c>
      <c r="J18" s="39">
        <f t="shared" si="0"/>
        <v>0.50943396226415105</v>
      </c>
      <c r="K18" s="39">
        <f t="shared" si="1"/>
        <v>0.98743487588109102</v>
      </c>
      <c r="L18" s="38">
        <f t="shared" si="4"/>
        <v>55</v>
      </c>
    </row>
    <row r="19" spans="1:12" x14ac:dyDescent="0.2">
      <c r="A19" s="55">
        <f t="shared" si="2"/>
        <v>60</v>
      </c>
      <c r="B19" s="55">
        <v>9642</v>
      </c>
      <c r="C19" s="56">
        <v>983.2</v>
      </c>
      <c r="D19" s="66">
        <v>0.46899999999999997</v>
      </c>
      <c r="E19" s="72">
        <v>0.47699999999999998</v>
      </c>
      <c r="F19" s="68">
        <v>6.68</v>
      </c>
      <c r="G19" s="58">
        <v>2.0299999999999998</v>
      </c>
      <c r="H19" s="55">
        <v>228</v>
      </c>
      <c r="I19" s="55">
        <f t="shared" si="3"/>
        <v>60</v>
      </c>
      <c r="J19" s="57">
        <f t="shared" si="0"/>
        <v>0.47368421052631582</v>
      </c>
      <c r="K19" s="57">
        <f t="shared" si="1"/>
        <v>0.98498314434569412</v>
      </c>
      <c r="L19" s="55">
        <f t="shared" si="4"/>
        <v>60</v>
      </c>
    </row>
    <row r="20" spans="1:12" x14ac:dyDescent="0.2">
      <c r="A20" s="38">
        <f t="shared" si="2"/>
        <v>65</v>
      </c>
      <c r="B20" s="38">
        <v>9616</v>
      </c>
      <c r="C20" s="41">
        <v>980.6</v>
      </c>
      <c r="D20" s="64">
        <v>0.436</v>
      </c>
      <c r="E20" s="71">
        <v>0.44400000000000001</v>
      </c>
      <c r="F20" s="67">
        <v>6.58</v>
      </c>
      <c r="G20" s="40">
        <v>2.56</v>
      </c>
      <c r="H20" s="38">
        <v>226</v>
      </c>
      <c r="I20" s="38">
        <f t="shared" si="3"/>
        <v>65</v>
      </c>
      <c r="J20" s="39">
        <f t="shared" si="0"/>
        <v>0.4409136047666336</v>
      </c>
      <c r="K20" s="39">
        <f t="shared" si="1"/>
        <v>0.98232710184901417</v>
      </c>
      <c r="L20" s="38">
        <f t="shared" si="4"/>
        <v>65</v>
      </c>
    </row>
    <row r="21" spans="1:12" x14ac:dyDescent="0.2">
      <c r="A21" s="38">
        <f t="shared" si="2"/>
        <v>70</v>
      </c>
      <c r="B21" s="38">
        <v>9589</v>
      </c>
      <c r="C21" s="41">
        <v>977.8</v>
      </c>
      <c r="D21" s="64">
        <v>0.40600000000000003</v>
      </c>
      <c r="E21" s="71">
        <v>0.41499999999999998</v>
      </c>
      <c r="F21" s="67">
        <v>6.5</v>
      </c>
      <c r="G21" s="40">
        <v>3.2</v>
      </c>
      <c r="H21" s="38">
        <v>225</v>
      </c>
      <c r="I21" s="38">
        <f t="shared" si="3"/>
        <v>70</v>
      </c>
      <c r="J21" s="39">
        <f t="shared" si="0"/>
        <v>0.41211519364448862</v>
      </c>
      <c r="K21" s="39">
        <f t="shared" si="1"/>
        <v>0.97956890387169271</v>
      </c>
      <c r="L21" s="38">
        <f t="shared" si="4"/>
        <v>70</v>
      </c>
    </row>
    <row r="22" spans="1:12" x14ac:dyDescent="0.2">
      <c r="A22" s="38">
        <f t="shared" si="2"/>
        <v>75</v>
      </c>
      <c r="B22" s="38">
        <v>9560</v>
      </c>
      <c r="C22" s="41">
        <v>974.9</v>
      </c>
      <c r="D22" s="64">
        <v>0.38</v>
      </c>
      <c r="E22" s="71">
        <v>0.39</v>
      </c>
      <c r="F22" s="67">
        <v>6.4</v>
      </c>
      <c r="G22" s="40">
        <v>3.96</v>
      </c>
      <c r="H22" s="38">
        <v>223</v>
      </c>
      <c r="I22" s="38">
        <f t="shared" si="3"/>
        <v>75</v>
      </c>
      <c r="J22" s="39">
        <f t="shared" si="0"/>
        <v>0.38728897715988087</v>
      </c>
      <c r="K22" s="39">
        <f t="shared" si="1"/>
        <v>0.97660639493308821</v>
      </c>
      <c r="L22" s="38">
        <f t="shared" si="4"/>
        <v>75</v>
      </c>
    </row>
    <row r="23" spans="1:12" x14ac:dyDescent="0.2">
      <c r="A23" s="38">
        <f t="shared" si="2"/>
        <v>80</v>
      </c>
      <c r="B23" s="38">
        <v>9530</v>
      </c>
      <c r="C23" s="41">
        <v>971.8</v>
      </c>
      <c r="D23" s="64">
        <v>0.35699999999999998</v>
      </c>
      <c r="E23" s="71">
        <v>0.36699999999999999</v>
      </c>
      <c r="F23" s="67">
        <v>6.3</v>
      </c>
      <c r="G23" s="40">
        <v>4.8600000000000003</v>
      </c>
      <c r="H23" s="38">
        <v>221</v>
      </c>
      <c r="I23" s="38">
        <f t="shared" si="3"/>
        <v>80</v>
      </c>
      <c r="J23" s="39">
        <f t="shared" si="0"/>
        <v>0.36444885799404175</v>
      </c>
      <c r="K23" s="39">
        <f t="shared" si="1"/>
        <v>0.97354173051384207</v>
      </c>
      <c r="L23" s="38">
        <f t="shared" si="4"/>
        <v>80</v>
      </c>
    </row>
    <row r="24" spans="1:12" x14ac:dyDescent="0.2">
      <c r="A24" s="38">
        <f t="shared" si="2"/>
        <v>85</v>
      </c>
      <c r="B24" s="38">
        <v>9499</v>
      </c>
      <c r="C24" s="41">
        <v>968.6</v>
      </c>
      <c r="D24" s="64">
        <v>0.33600000000000002</v>
      </c>
      <c r="E24" s="71">
        <v>0.34699999999999998</v>
      </c>
      <c r="F24" s="67">
        <v>6.2</v>
      </c>
      <c r="G24" s="40">
        <v>5.93</v>
      </c>
      <c r="H24" s="38">
        <v>217</v>
      </c>
      <c r="I24" s="38">
        <f t="shared" si="3"/>
        <v>85</v>
      </c>
      <c r="J24" s="39">
        <f t="shared" si="0"/>
        <v>0.34458788480635555</v>
      </c>
      <c r="K24" s="39">
        <f t="shared" si="1"/>
        <v>0.97037491061395442</v>
      </c>
      <c r="L24" s="38">
        <f t="shared" si="4"/>
        <v>85</v>
      </c>
    </row>
    <row r="25" spans="1:12" x14ac:dyDescent="0.2">
      <c r="A25" s="38">
        <f t="shared" si="2"/>
        <v>90</v>
      </c>
      <c r="B25" s="38">
        <v>9466</v>
      </c>
      <c r="C25" s="41">
        <v>965.3</v>
      </c>
      <c r="D25" s="64">
        <v>0.317</v>
      </c>
      <c r="E25" s="71">
        <v>0.32800000000000001</v>
      </c>
      <c r="F25" s="67">
        <v>6.12</v>
      </c>
      <c r="G25" s="40">
        <v>7.18</v>
      </c>
      <c r="H25" s="38">
        <v>216</v>
      </c>
      <c r="I25" s="38">
        <f t="shared" si="3"/>
        <v>90</v>
      </c>
      <c r="J25" s="39">
        <f t="shared" si="0"/>
        <v>0.32571996027805367</v>
      </c>
      <c r="K25" s="39">
        <f t="shared" si="1"/>
        <v>0.96700377975278373</v>
      </c>
      <c r="L25" s="38">
        <f t="shared" si="4"/>
        <v>90</v>
      </c>
    </row>
    <row r="26" spans="1:12" x14ac:dyDescent="0.2">
      <c r="A26" s="38">
        <f t="shared" si="2"/>
        <v>95</v>
      </c>
      <c r="B26" s="38">
        <v>9433</v>
      </c>
      <c r="C26" s="41">
        <v>961.9</v>
      </c>
      <c r="D26" s="64">
        <v>0.29899999999999999</v>
      </c>
      <c r="E26" s="71">
        <v>0.311</v>
      </c>
      <c r="F26" s="67">
        <v>6.02</v>
      </c>
      <c r="G26" s="40">
        <v>8.6199999999999992</v>
      </c>
      <c r="H26" s="38">
        <v>211</v>
      </c>
      <c r="I26" s="38">
        <f t="shared" si="3"/>
        <v>95</v>
      </c>
      <c r="J26" s="39">
        <f t="shared" si="0"/>
        <v>0.30883813306852037</v>
      </c>
      <c r="K26" s="39">
        <f t="shared" si="1"/>
        <v>0.96363264889161304</v>
      </c>
      <c r="L26" s="38">
        <f t="shared" si="4"/>
        <v>95</v>
      </c>
    </row>
    <row r="27" spans="1:12" ht="13.5" thickBot="1" x14ac:dyDescent="0.25">
      <c r="A27" s="38">
        <f t="shared" si="2"/>
        <v>100</v>
      </c>
      <c r="B27" s="38">
        <v>9399</v>
      </c>
      <c r="C27" s="41">
        <v>958.4</v>
      </c>
      <c r="D27" s="64">
        <v>0.28399999999999997</v>
      </c>
      <c r="E27" s="73">
        <v>0.29599999999999999</v>
      </c>
      <c r="F27" s="67">
        <v>5.94</v>
      </c>
      <c r="G27" s="40">
        <v>10.33</v>
      </c>
      <c r="H27" s="38">
        <v>207</v>
      </c>
      <c r="I27" s="38">
        <f t="shared" si="3"/>
        <v>100</v>
      </c>
      <c r="J27" s="39">
        <f t="shared" si="0"/>
        <v>0.29394240317775572</v>
      </c>
      <c r="K27" s="39">
        <f t="shared" si="1"/>
        <v>0.96015936254980083</v>
      </c>
      <c r="L27" s="38">
        <f t="shared" si="4"/>
        <v>100</v>
      </c>
    </row>
    <row r="28" spans="1:12" ht="15" x14ac:dyDescent="0.25">
      <c r="B28" s="35" t="s">
        <v>106</v>
      </c>
    </row>
    <row r="29" spans="1:12" x14ac:dyDescent="0.2">
      <c r="F29" s="37"/>
    </row>
  </sheetData>
  <pageMargins left="0.75" right="0.75" top="1" bottom="1" header="0" footer="0"/>
  <pageSetup paperSize="9" orientation="portrait" horizont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tabColor theme="5" tint="-0.249977111117893"/>
  </sheetPr>
  <dimension ref="A1:CC17"/>
  <sheetViews>
    <sheetView zoomScaleNormal="100" zoomScaleSheetLayoutView="91" workbookViewId="0">
      <pane ySplit="7" topLeftCell="A8" activePane="bottomLeft" state="frozen"/>
      <selection pane="bottomLeft" activeCell="A10" sqref="A10"/>
    </sheetView>
  </sheetViews>
  <sheetFormatPr baseColWidth="10" defaultRowHeight="11.25" x14ac:dyDescent="0.2"/>
  <cols>
    <col min="1" max="1" width="3.7109375" style="172" customWidth="1"/>
    <col min="2" max="2" width="15.7109375" style="172" customWidth="1"/>
    <col min="3" max="4" width="15.7109375" style="173" customWidth="1"/>
    <col min="5" max="7" width="7.7109375" style="173" customWidth="1"/>
    <col min="8" max="8" width="15.7109375" style="173" customWidth="1"/>
    <col min="9" max="9" width="7.7109375" style="173" customWidth="1"/>
    <col min="10" max="19" width="7.7109375" style="173" hidden="1" customWidth="1"/>
    <col min="20" max="22" width="7.7109375" style="173" customWidth="1"/>
    <col min="23" max="23" width="1.7109375" style="173" customWidth="1"/>
    <col min="24" max="29" width="7.7109375" style="174" customWidth="1"/>
    <col min="30" max="30" width="1.7109375" style="173" customWidth="1"/>
    <col min="31" max="34" width="7.7109375" style="174" customWidth="1"/>
    <col min="35" max="35" width="7.7109375" style="173" customWidth="1"/>
    <col min="36" max="36" width="1.7109375" style="172" customWidth="1"/>
    <col min="37" max="48" width="7.7109375" style="173" hidden="1" customWidth="1"/>
    <col min="49" max="49" width="7.7109375" style="173" customWidth="1"/>
    <col min="50" max="50" width="7.7109375" style="173" hidden="1" customWidth="1"/>
    <col min="51" max="59" width="6.7109375" style="175" hidden="1" customWidth="1"/>
    <col min="60" max="66" width="6.7109375" style="176" hidden="1" customWidth="1"/>
    <col min="67" max="80" width="6.7109375" style="175" hidden="1" customWidth="1"/>
    <col min="81" max="95" width="6.7109375" style="172" customWidth="1"/>
    <col min="96" max="16384" width="11.42578125" style="172"/>
  </cols>
  <sheetData>
    <row r="1" spans="1:81" ht="12" thickBot="1" x14ac:dyDescent="0.25"/>
    <row r="2" spans="1:81" ht="15" customHeight="1" thickBot="1" x14ac:dyDescent="0.25">
      <c r="B2" s="173"/>
      <c r="F2" s="479" t="s">
        <v>347</v>
      </c>
      <c r="G2" s="480"/>
      <c r="H2" s="481"/>
      <c r="T2" s="177" t="s">
        <v>245</v>
      </c>
      <c r="X2" s="173"/>
      <c r="Y2" s="173"/>
      <c r="Z2" s="173"/>
      <c r="AA2" s="173"/>
      <c r="AB2" s="173"/>
      <c r="AC2" s="172"/>
      <c r="AD2" s="172"/>
      <c r="AE2" s="172"/>
      <c r="AF2" s="172"/>
      <c r="AG2" s="172"/>
    </row>
    <row r="3" spans="1:81" ht="15" customHeight="1" thickBot="1" x14ac:dyDescent="0.25">
      <c r="E3" s="179"/>
      <c r="T3" s="315">
        <v>12</v>
      </c>
      <c r="U3" s="315">
        <v>16</v>
      </c>
      <c r="V3" s="315">
        <v>20</v>
      </c>
      <c r="X3" s="315">
        <v>25</v>
      </c>
      <c r="Y3" s="315">
        <v>32</v>
      </c>
      <c r="Z3" s="315">
        <v>40</v>
      </c>
      <c r="AA3" s="315">
        <v>50</v>
      </c>
      <c r="AB3" s="315">
        <v>63</v>
      </c>
      <c r="AC3" s="315">
        <v>75</v>
      </c>
      <c r="AE3" s="315">
        <v>90</v>
      </c>
      <c r="AF3" s="315">
        <v>110</v>
      </c>
      <c r="AG3" s="315">
        <v>125</v>
      </c>
      <c r="AH3" s="315">
        <v>140</v>
      </c>
      <c r="AI3" s="315">
        <v>160</v>
      </c>
    </row>
    <row r="4" spans="1:81" ht="15" customHeight="1" thickBot="1" x14ac:dyDescent="0.25">
      <c r="B4" s="482" t="s">
        <v>367</v>
      </c>
      <c r="C4" s="483"/>
      <c r="D4" s="342">
        <f>SUM(AX:AX)</f>
        <v>109.50000000000001</v>
      </c>
      <c r="E4" s="179"/>
      <c r="T4" s="316">
        <f>SUM(BO:BO)</f>
        <v>0</v>
      </c>
      <c r="U4" s="316">
        <f>SUM(BP:BP)</f>
        <v>0</v>
      </c>
      <c r="V4" s="316">
        <f>SUM(BQ:BQ)</f>
        <v>0</v>
      </c>
      <c r="X4" s="316">
        <f>SUM(BR:BR)</f>
        <v>0</v>
      </c>
      <c r="Y4" s="316">
        <f>SUM(BS:BS)</f>
        <v>0</v>
      </c>
      <c r="Z4" s="316">
        <f>SUM(BT:BT)</f>
        <v>0</v>
      </c>
      <c r="AA4" s="316">
        <f>SUM(BU:BU)</f>
        <v>15</v>
      </c>
      <c r="AB4" s="316">
        <f>SUM(BV:BV)</f>
        <v>0</v>
      </c>
      <c r="AC4" s="316">
        <f>SUM(BW:BW)</f>
        <v>0</v>
      </c>
      <c r="AE4" s="316">
        <f>SUM(BX:BX)</f>
        <v>0</v>
      </c>
      <c r="AF4" s="316">
        <f>SUM(BY:BY)</f>
        <v>0</v>
      </c>
      <c r="AG4" s="316">
        <f>SUM(BZ:BZ)</f>
        <v>0</v>
      </c>
      <c r="AH4" s="316">
        <f>SUM(CA:CA)</f>
        <v>0</v>
      </c>
      <c r="AI4" s="316">
        <f>SUM(CB:CB)</f>
        <v>0</v>
      </c>
    </row>
    <row r="5" spans="1:81" ht="15" customHeight="1" thickBot="1" x14ac:dyDescent="0.25">
      <c r="E5" s="179"/>
      <c r="AV5" s="173" t="s">
        <v>234</v>
      </c>
    </row>
    <row r="6" spans="1:81" ht="15" customHeight="1" thickBot="1" x14ac:dyDescent="0.25">
      <c r="B6" s="482" t="s">
        <v>211</v>
      </c>
      <c r="C6" s="484"/>
      <c r="D6" s="341">
        <f ca="1">SUM(AW:AW)</f>
        <v>2.666430685007481</v>
      </c>
      <c r="E6" s="182"/>
      <c r="AV6" s="173" t="s">
        <v>235</v>
      </c>
    </row>
    <row r="7" spans="1:81" x14ac:dyDescent="0.2">
      <c r="C7" s="172"/>
      <c r="D7" s="172"/>
      <c r="E7" s="172"/>
      <c r="AS7" s="173" t="s">
        <v>314</v>
      </c>
      <c r="AV7" s="173" t="s">
        <v>236</v>
      </c>
    </row>
    <row r="8" spans="1:81" ht="12" thickBot="1" x14ac:dyDescent="0.25">
      <c r="A8" s="183">
        <v>1</v>
      </c>
      <c r="C8" s="172"/>
      <c r="D8" s="172"/>
      <c r="E8" s="172"/>
    </row>
    <row r="9" spans="1:81" ht="15" customHeight="1" x14ac:dyDescent="0.2">
      <c r="A9" s="184"/>
      <c r="B9" s="453" t="s">
        <v>155</v>
      </c>
      <c r="C9" s="454"/>
      <c r="D9" s="185" t="s">
        <v>157</v>
      </c>
      <c r="E9" s="146" t="s">
        <v>158</v>
      </c>
      <c r="F9" s="146" t="s">
        <v>154</v>
      </c>
      <c r="G9" s="147" t="s">
        <v>154</v>
      </c>
      <c r="H9" s="185" t="s">
        <v>322</v>
      </c>
      <c r="I9" s="147" t="s">
        <v>153</v>
      </c>
      <c r="J9" s="156" t="s">
        <v>299</v>
      </c>
      <c r="K9" s="157" t="s">
        <v>47</v>
      </c>
      <c r="L9" s="157" t="s">
        <v>287</v>
      </c>
      <c r="M9" s="157" t="s">
        <v>300</v>
      </c>
      <c r="N9" s="157" t="s">
        <v>287</v>
      </c>
      <c r="O9" s="157" t="s">
        <v>301</v>
      </c>
      <c r="P9" s="157" t="s">
        <v>301</v>
      </c>
      <c r="Q9" s="157" t="s">
        <v>182</v>
      </c>
      <c r="R9" s="157" t="s">
        <v>182</v>
      </c>
      <c r="S9" s="158" t="s">
        <v>182</v>
      </c>
      <c r="T9" s="186" t="s">
        <v>308</v>
      </c>
      <c r="U9" s="185" t="s">
        <v>308</v>
      </c>
      <c r="V9" s="147" t="s">
        <v>309</v>
      </c>
      <c r="X9" s="185" t="s">
        <v>87</v>
      </c>
      <c r="Y9" s="146" t="s">
        <v>152</v>
      </c>
      <c r="Z9" s="146" t="s">
        <v>152</v>
      </c>
      <c r="AA9" s="146" t="s">
        <v>152</v>
      </c>
      <c r="AB9" s="146" t="s">
        <v>152</v>
      </c>
      <c r="AC9" s="147" t="s">
        <v>87</v>
      </c>
      <c r="AE9" s="185" t="s">
        <v>151</v>
      </c>
      <c r="AF9" s="146" t="s">
        <v>151</v>
      </c>
      <c r="AG9" s="146" t="s">
        <v>193</v>
      </c>
      <c r="AH9" s="146" t="s">
        <v>151</v>
      </c>
      <c r="AI9" s="147" t="s">
        <v>151</v>
      </c>
      <c r="AK9" s="187" t="s">
        <v>190</v>
      </c>
      <c r="AL9" s="188" t="s">
        <v>180</v>
      </c>
      <c r="AM9" s="188" t="s">
        <v>183</v>
      </c>
      <c r="AN9" s="188" t="s">
        <v>184</v>
      </c>
      <c r="AO9" s="188" t="s">
        <v>182</v>
      </c>
      <c r="AP9" s="188" t="s">
        <v>182</v>
      </c>
      <c r="AQ9" s="189" t="s">
        <v>187</v>
      </c>
      <c r="AR9" s="173" t="s">
        <v>187</v>
      </c>
      <c r="AS9" s="173" t="s">
        <v>187</v>
      </c>
      <c r="AT9" s="173" t="s">
        <v>231</v>
      </c>
      <c r="AU9" s="173" t="s">
        <v>187</v>
      </c>
      <c r="AV9" s="173" t="s">
        <v>187</v>
      </c>
      <c r="AW9" s="173" t="s">
        <v>210</v>
      </c>
      <c r="AY9" s="175">
        <v>1</v>
      </c>
      <c r="AZ9" s="175">
        <f>AY9+1</f>
        <v>2</v>
      </c>
      <c r="BA9" s="175">
        <f t="shared" ref="BA9:BL9" si="0">AZ9+1</f>
        <v>3</v>
      </c>
      <c r="BB9" s="175">
        <f t="shared" si="0"/>
        <v>4</v>
      </c>
      <c r="BC9" s="175">
        <f t="shared" si="0"/>
        <v>5</v>
      </c>
      <c r="BD9" s="175">
        <f t="shared" si="0"/>
        <v>6</v>
      </c>
      <c r="BE9" s="175">
        <f t="shared" si="0"/>
        <v>7</v>
      </c>
      <c r="BF9" s="175">
        <f t="shared" si="0"/>
        <v>8</v>
      </c>
      <c r="BG9" s="175">
        <f t="shared" si="0"/>
        <v>9</v>
      </c>
      <c r="BH9" s="175">
        <f t="shared" si="0"/>
        <v>10</v>
      </c>
      <c r="BI9" s="175">
        <f t="shared" si="0"/>
        <v>11</v>
      </c>
      <c r="BJ9" s="175">
        <f t="shared" si="0"/>
        <v>12</v>
      </c>
      <c r="BK9" s="175">
        <f t="shared" si="0"/>
        <v>13</v>
      </c>
      <c r="BL9" s="175">
        <f t="shared" si="0"/>
        <v>14</v>
      </c>
      <c r="BO9" s="175">
        <f>AY14</f>
        <v>0</v>
      </c>
      <c r="BP9" s="175">
        <f t="shared" ref="BP9:CB9" si="1">AZ14</f>
        <v>0</v>
      </c>
      <c r="BQ9" s="175">
        <f t="shared" si="1"/>
        <v>0</v>
      </c>
      <c r="BR9" s="175">
        <f t="shared" si="1"/>
        <v>0</v>
      </c>
      <c r="BS9" s="175">
        <f t="shared" si="1"/>
        <v>0</v>
      </c>
      <c r="BT9" s="175">
        <f t="shared" si="1"/>
        <v>0</v>
      </c>
      <c r="BU9" s="175">
        <f t="shared" si="1"/>
        <v>15</v>
      </c>
      <c r="BV9" s="175">
        <f t="shared" si="1"/>
        <v>0</v>
      </c>
      <c r="BW9" s="175">
        <f t="shared" si="1"/>
        <v>0</v>
      </c>
      <c r="BX9" s="175">
        <f t="shared" si="1"/>
        <v>0</v>
      </c>
      <c r="BY9" s="175">
        <f t="shared" si="1"/>
        <v>0</v>
      </c>
      <c r="BZ9" s="175">
        <f t="shared" si="1"/>
        <v>0</v>
      </c>
      <c r="CA9" s="175">
        <f t="shared" si="1"/>
        <v>0</v>
      </c>
      <c r="CB9" s="175">
        <f t="shared" si="1"/>
        <v>0</v>
      </c>
    </row>
    <row r="10" spans="1:81" ht="15" customHeight="1" x14ac:dyDescent="0.2">
      <c r="A10" s="190">
        <v>1</v>
      </c>
      <c r="B10" s="464" t="s">
        <v>156</v>
      </c>
      <c r="C10" s="465"/>
      <c r="D10" s="191"/>
      <c r="E10" s="145" t="s">
        <v>163</v>
      </c>
      <c r="F10" s="145" t="s">
        <v>298</v>
      </c>
      <c r="G10" s="148" t="s">
        <v>150</v>
      </c>
      <c r="H10" s="170"/>
      <c r="I10" s="148" t="s">
        <v>243</v>
      </c>
      <c r="J10" s="151"/>
      <c r="K10" s="150" t="s">
        <v>302</v>
      </c>
      <c r="L10" s="150" t="s">
        <v>303</v>
      </c>
      <c r="M10" s="150" t="s">
        <v>287</v>
      </c>
      <c r="N10" s="150" t="s">
        <v>304</v>
      </c>
      <c r="O10" s="150" t="s">
        <v>305</v>
      </c>
      <c r="P10" s="150" t="s">
        <v>306</v>
      </c>
      <c r="Q10" s="150" t="s">
        <v>44</v>
      </c>
      <c r="R10" s="150" t="s">
        <v>45</v>
      </c>
      <c r="S10" s="152" t="s">
        <v>46</v>
      </c>
      <c r="T10" s="153" t="s">
        <v>160</v>
      </c>
      <c r="U10" s="191" t="s">
        <v>310</v>
      </c>
      <c r="V10" s="148" t="s">
        <v>159</v>
      </c>
      <c r="X10" s="191" t="s">
        <v>149</v>
      </c>
      <c r="Y10" s="145" t="s">
        <v>255</v>
      </c>
      <c r="Z10" s="145" t="s">
        <v>161</v>
      </c>
      <c r="AA10" s="145" t="s">
        <v>161</v>
      </c>
      <c r="AB10" s="145" t="s">
        <v>162</v>
      </c>
      <c r="AC10" s="148" t="s">
        <v>148</v>
      </c>
      <c r="AE10" s="191" t="s">
        <v>147</v>
      </c>
      <c r="AF10" s="145" t="s">
        <v>147</v>
      </c>
      <c r="AG10" s="145" t="s">
        <v>146</v>
      </c>
      <c r="AH10" s="145" t="s">
        <v>145</v>
      </c>
      <c r="AI10" s="148" t="s">
        <v>160</v>
      </c>
      <c r="AK10" s="192" t="s">
        <v>177</v>
      </c>
      <c r="AL10" s="193" t="s">
        <v>179</v>
      </c>
      <c r="AM10" s="193" t="s">
        <v>181</v>
      </c>
      <c r="AN10" s="193" t="s">
        <v>185</v>
      </c>
      <c r="AO10" s="193" t="s">
        <v>191</v>
      </c>
      <c r="AP10" s="193" t="s">
        <v>191</v>
      </c>
      <c r="AQ10" s="194" t="s">
        <v>188</v>
      </c>
      <c r="AR10" s="173" t="s">
        <v>200</v>
      </c>
      <c r="AS10" s="173" t="s">
        <v>200</v>
      </c>
      <c r="AT10" s="173" t="s">
        <v>315</v>
      </c>
      <c r="AU10" s="173" t="s">
        <v>200</v>
      </c>
      <c r="AV10" s="173" t="s">
        <v>200</v>
      </c>
      <c r="AW10" s="173" t="s">
        <v>204</v>
      </c>
      <c r="AY10" s="195">
        <v>12</v>
      </c>
      <c r="AZ10" s="195">
        <v>16</v>
      </c>
      <c r="BA10" s="195">
        <v>20</v>
      </c>
      <c r="BB10" s="195">
        <v>25</v>
      </c>
      <c r="BC10" s="195">
        <v>32</v>
      </c>
      <c r="BD10" s="195">
        <v>40</v>
      </c>
      <c r="BE10" s="195">
        <v>50</v>
      </c>
      <c r="BF10" s="195">
        <v>63</v>
      </c>
      <c r="BG10" s="195">
        <v>75</v>
      </c>
      <c r="BH10" s="195">
        <v>90</v>
      </c>
      <c r="BI10" s="195">
        <v>110</v>
      </c>
      <c r="BJ10" s="195">
        <v>125</v>
      </c>
      <c r="BK10" s="195">
        <v>140</v>
      </c>
      <c r="BL10" s="195">
        <v>160</v>
      </c>
      <c r="CC10" s="173"/>
    </row>
    <row r="11" spans="1:81" ht="15.75" customHeight="1" thickBot="1" x14ac:dyDescent="0.25">
      <c r="A11" s="196"/>
      <c r="B11" s="159"/>
      <c r="C11" s="160"/>
      <c r="D11" s="197"/>
      <c r="E11" s="161" t="s">
        <v>164</v>
      </c>
      <c r="F11" s="161" t="s">
        <v>144</v>
      </c>
      <c r="G11" s="162" t="s">
        <v>144</v>
      </c>
      <c r="H11" s="171"/>
      <c r="I11" s="162" t="s">
        <v>144</v>
      </c>
      <c r="J11" s="163"/>
      <c r="K11" s="164"/>
      <c r="L11" s="164" t="s">
        <v>307</v>
      </c>
      <c r="M11" s="164"/>
      <c r="N11" s="164" t="s">
        <v>305</v>
      </c>
      <c r="O11" s="164"/>
      <c r="P11" s="164"/>
      <c r="Q11" s="164"/>
      <c r="R11" s="164"/>
      <c r="S11" s="165"/>
      <c r="T11" s="166" t="s">
        <v>144</v>
      </c>
      <c r="U11" s="197" t="s">
        <v>311</v>
      </c>
      <c r="V11" s="162" t="s">
        <v>311</v>
      </c>
      <c r="X11" s="197" t="s">
        <v>142</v>
      </c>
      <c r="Y11" s="161" t="s">
        <v>143</v>
      </c>
      <c r="Z11" s="161" t="s">
        <v>202</v>
      </c>
      <c r="AA11" s="161" t="s">
        <v>203</v>
      </c>
      <c r="AB11" s="161" t="s">
        <v>143</v>
      </c>
      <c r="AC11" s="162" t="s">
        <v>142</v>
      </c>
      <c r="AE11" s="191" t="s">
        <v>189</v>
      </c>
      <c r="AF11" s="145" t="s">
        <v>141</v>
      </c>
      <c r="AG11" s="145" t="s">
        <v>141</v>
      </c>
      <c r="AH11" s="161" t="s">
        <v>141</v>
      </c>
      <c r="AI11" s="162" t="s">
        <v>140</v>
      </c>
      <c r="AK11" s="200" t="s">
        <v>178</v>
      </c>
      <c r="AL11" s="201" t="s">
        <v>143</v>
      </c>
      <c r="AM11" s="201"/>
      <c r="AN11" s="201"/>
      <c r="AO11" s="201" t="s">
        <v>192</v>
      </c>
      <c r="AP11" s="201" t="s">
        <v>186</v>
      </c>
      <c r="AQ11" s="202" t="s">
        <v>189</v>
      </c>
      <c r="AR11" s="173" t="s">
        <v>201</v>
      </c>
      <c r="AS11" s="173" t="s">
        <v>231</v>
      </c>
      <c r="AT11" s="173" t="s">
        <v>316</v>
      </c>
      <c r="AU11" s="173" t="s">
        <v>232</v>
      </c>
      <c r="AV11" s="173" t="s">
        <v>233</v>
      </c>
      <c r="AW11" s="203" t="s">
        <v>205</v>
      </c>
      <c r="AY11" s="204">
        <f>INDEX(Tablas!$C$98:$P$111,AY9,AY12)</f>
        <v>8.8000000000000007</v>
      </c>
      <c r="AZ11" s="204">
        <f>INDEX(Tablas!$C$98:$P$111,AZ9,AZ12)</f>
        <v>11.7</v>
      </c>
      <c r="BA11" s="204">
        <f>INDEX(Tablas!$C$98:$P$111,BA9,BA12)</f>
        <v>14.6</v>
      </c>
      <c r="BB11" s="204">
        <f>INDEX(Tablas!$C$98:$P$111,BB9,BB12)</f>
        <v>18.2</v>
      </c>
      <c r="BC11" s="204">
        <f>INDEX(Tablas!$C$98:$P$111,BC9,BC12)</f>
        <v>23.4</v>
      </c>
      <c r="BD11" s="204">
        <f>INDEX(Tablas!$C$98:$P$111,BD9,BD12)</f>
        <v>29.2</v>
      </c>
      <c r="BE11" s="204">
        <f>INDEX(Tablas!$C$98:$P$111,BE9,BE12)</f>
        <v>36.5</v>
      </c>
      <c r="BF11" s="204">
        <f>INDEX(Tablas!$C$98:$P$111,BF9,BF12)</f>
        <v>46</v>
      </c>
      <c r="BG11" s="204">
        <f>INDEX(Tablas!$C$98:$P$111,BG9,BG12)</f>
        <v>54.7</v>
      </c>
      <c r="BH11" s="204">
        <f>INDEX(Tablas!$C$98:$P$111,BH9,BH12)</f>
        <v>65.7</v>
      </c>
      <c r="BI11" s="204">
        <f>INDEX(Tablas!$C$98:$P$111,BI9,BI12)</f>
        <v>80.3</v>
      </c>
      <c r="BJ11" s="204">
        <f>INDEX(Tablas!$C$98:$P$111,BJ9,BJ12)</f>
        <v>91.2</v>
      </c>
      <c r="BK11" s="204">
        <f>INDEX(Tablas!$C$98:$P$111,BK9,BK12)</f>
        <v>102.2</v>
      </c>
      <c r="BL11" s="204">
        <f>INDEX(Tablas!$C$98:$P$111,BL9,BL12)</f>
        <v>116.8</v>
      </c>
      <c r="CC11" s="173"/>
    </row>
    <row r="12" spans="1:81" ht="12" customHeight="1" thickBot="1" x14ac:dyDescent="0.25">
      <c r="B12" s="473" t="s">
        <v>423</v>
      </c>
      <c r="C12" s="474"/>
      <c r="D12" s="308" t="str">
        <f>'Consumos TIPO'!$H$9</f>
        <v>VIVIENDA TIPO A</v>
      </c>
      <c r="E12" s="155">
        <f>'Consumos TIPO'!$K$9</f>
        <v>20</v>
      </c>
      <c r="F12" s="311">
        <f>'Consumos TIPO'!$F$36</f>
        <v>0.91</v>
      </c>
      <c r="G12" s="312">
        <f>E12*F12</f>
        <v>18.2</v>
      </c>
      <c r="H12" s="317"/>
      <c r="I12" s="256"/>
      <c r="J12" s="209" t="str">
        <f>'Consumos TIPO'!$D$7</f>
        <v>Viviendas</v>
      </c>
      <c r="K12" s="210">
        <f>Tablas!$C$47</f>
        <v>0.2</v>
      </c>
      <c r="L12" s="210">
        <f>VLOOKUP(J12,Tablas!$I$60:$K$65,3,FALSE)</f>
        <v>1</v>
      </c>
      <c r="M12" s="210">
        <f t="shared" ref="M12:M17" si="2">IF(G12&gt;20,3,IF(K12&lt;0.5,0,IF(G12&lt;=1,1,2)))</f>
        <v>0</v>
      </c>
      <c r="N12" s="210">
        <f t="shared" ref="N12:N17" si="3">L12+M12</f>
        <v>1</v>
      </c>
      <c r="O12" s="210">
        <f t="shared" ref="O12:O17" si="4">1+IF(G12&lt;=1.5,0,IF(G12&lt;=20,1,2))</f>
        <v>2</v>
      </c>
      <c r="P12" s="210">
        <f>IF(J12=Tablas!I65,O12,N12)</f>
        <v>1</v>
      </c>
      <c r="Q12" s="210">
        <f>INDEX(Tablas!$E$59:$G$81,P12,1)</f>
        <v>0.68200000000000005</v>
      </c>
      <c r="R12" s="210">
        <f>INDEX(Tablas!$E$59:$G$81,P12,2)</f>
        <v>0.45</v>
      </c>
      <c r="S12" s="211">
        <f>INDEX(Tablas!$E$59:$G$81,P12,3)</f>
        <v>-0.14000000000000001</v>
      </c>
      <c r="T12" s="325"/>
      <c r="U12" s="326">
        <f>IF(G12=0,0,POWER(G12,R12)*Q12+S12)</f>
        <v>2.3766133682721655</v>
      </c>
      <c r="V12" s="312">
        <f>IF(G12=0,0,U12/G12)</f>
        <v>0.13058315210286625</v>
      </c>
      <c r="X12" s="255">
        <v>3</v>
      </c>
      <c r="Y12" s="329">
        <f>(4000*U17/(3.1416*$X$12))^0.5</f>
        <v>33.164388704131788</v>
      </c>
      <c r="Z12" s="330">
        <f>INDEX(Tablas!$S$98:$S$111,MATCH(Y12,AY11:BL11,1)+1,1)</f>
        <v>50</v>
      </c>
      <c r="AA12" s="506">
        <f>Z12</f>
        <v>50</v>
      </c>
      <c r="AB12" s="331">
        <f>INDEX(Tablas!$C$98:$P$111,MATCH(AA12,Tablas!$B$98:$B$111,0),MATCH(Y15,Tablas!$C$96:$P$96,0))</f>
        <v>36.5</v>
      </c>
      <c r="AC12" s="332">
        <f>4000*U17/(PI()*AB12*AB12)</f>
        <v>2.4767406645348702</v>
      </c>
      <c r="AE12" s="333">
        <f ca="1">IFERROR(AQ12,AS12)</f>
        <v>0.14220963653373231</v>
      </c>
      <c r="AF12" s="334">
        <f ca="1">AE12*(B16+C16)</f>
        <v>2.1331445480059847</v>
      </c>
      <c r="AG12" s="335">
        <f ca="1">AF12*0.25</f>
        <v>0.53328613700149619</v>
      </c>
      <c r="AH12" s="221">
        <f ca="1">AF12+AG12</f>
        <v>2.666430685007481</v>
      </c>
      <c r="AI12" s="336">
        <f ca="1">AH12*9.8</f>
        <v>26.131020713073315</v>
      </c>
      <c r="AK12" s="225">
        <f>VLOOKUP('Consumos TIPO'!$D$9,'Propiedades agua'!$A$7:$K$27,5,FALSE)/100</f>
        <v>5.5600000000000007E-3</v>
      </c>
      <c r="AL12" s="225">
        <f>VLOOKUP(Y14,Tablas!$B$115:$C$125,2,FALSE)</f>
        <v>1.5E-3</v>
      </c>
      <c r="AM12" s="225">
        <f>9.99*AC12*AB12/AK12</f>
        <v>162429.19644112812</v>
      </c>
      <c r="AN12" s="225">
        <f>AL12/AB12</f>
        <v>4.1095890410958905E-5</v>
      </c>
      <c r="AO12" s="226">
        <f ca="1">-2*LOG10((2.51*AO12/AM12)+AN12/3.71)</f>
        <v>7.765001671984769</v>
      </c>
      <c r="AP12" s="225">
        <f ca="1">1/(AO12*AO12)</f>
        <v>1.6585054112555481E-2</v>
      </c>
      <c r="AQ12" s="225">
        <f ca="1">(AP12/AB12)*(AC12*AC12/(2*9.8))*1000</f>
        <v>0.14220963653373231</v>
      </c>
      <c r="AR12" s="173">
        <f>10.674*((U17/1000)^1.852/(140^1.852*(AB12/1000)^4.781))</f>
        <v>0.13717718039817386</v>
      </c>
      <c r="AS12" s="173">
        <f>(0.00056)*((AC12)^(7/4))/((AB12/1000)^(5/4))</f>
        <v>0.17163777744076958</v>
      </c>
      <c r="AT12" s="173">
        <f>378*((U17*3600)^1.75)/(AB12^4.75)/1000</f>
        <v>0.12701450608291048</v>
      </c>
      <c r="AU12" s="173">
        <f>(0.316/(AM12^0.25))*999*AC12^2/(2*(AB12/1000))/10000</f>
        <v>0.1321370954415729</v>
      </c>
      <c r="AV12" s="173">
        <f ca="1">10.3*(AO12^2*0.000001)*((U17/1000)^2/((AB12/1000)^5.33))</f>
        <v>0.19196040355439109</v>
      </c>
      <c r="AW12" s="227">
        <f ca="1">IF(C14="NO",0,AH12)</f>
        <v>2.666430685007481</v>
      </c>
      <c r="AY12" s="175">
        <f>HLOOKUP(Y15,Tablas!$C$87:$I$94,8,FALSE)</f>
        <v>6</v>
      </c>
      <c r="AZ12" s="175">
        <f>AY12</f>
        <v>6</v>
      </c>
      <c r="BA12" s="175">
        <f t="shared" ref="BA12:BL12" si="5">AZ12</f>
        <v>6</v>
      </c>
      <c r="BB12" s="175">
        <f t="shared" si="5"/>
        <v>6</v>
      </c>
      <c r="BC12" s="175">
        <f t="shared" si="5"/>
        <v>6</v>
      </c>
      <c r="BD12" s="175">
        <f t="shared" si="5"/>
        <v>6</v>
      </c>
      <c r="BE12" s="175">
        <f t="shared" si="5"/>
        <v>6</v>
      </c>
      <c r="BF12" s="175">
        <f t="shared" si="5"/>
        <v>6</v>
      </c>
      <c r="BG12" s="175">
        <f t="shared" si="5"/>
        <v>6</v>
      </c>
      <c r="BH12" s="175">
        <f t="shared" si="5"/>
        <v>6</v>
      </c>
      <c r="BI12" s="175">
        <f t="shared" si="5"/>
        <v>6</v>
      </c>
      <c r="BJ12" s="175">
        <f t="shared" si="5"/>
        <v>6</v>
      </c>
      <c r="BK12" s="175">
        <f t="shared" si="5"/>
        <v>6</v>
      </c>
      <c r="BL12" s="175">
        <f t="shared" si="5"/>
        <v>6</v>
      </c>
      <c r="BN12" s="228"/>
      <c r="BO12" s="229"/>
      <c r="CC12" s="173"/>
    </row>
    <row r="13" spans="1:81" ht="12" customHeight="1" thickBot="1" x14ac:dyDescent="0.25">
      <c r="B13" s="230"/>
      <c r="C13" s="231"/>
      <c r="D13" s="309" t="str">
        <f>'Consumos TIPO'!$H$10</f>
        <v>VIVIENDA TIPO B</v>
      </c>
      <c r="E13" s="144">
        <f>'Consumos TIPO'!$K$10</f>
        <v>5</v>
      </c>
      <c r="F13" s="311">
        <f>'Consumos TIPO'!$L$36</f>
        <v>1.01</v>
      </c>
      <c r="G13" s="313">
        <f>E13*F13</f>
        <v>5.05</v>
      </c>
      <c r="H13" s="317"/>
      <c r="I13" s="257"/>
      <c r="J13" s="235" t="str">
        <f>J12</f>
        <v>Viviendas</v>
      </c>
      <c r="K13" s="236">
        <f>Tablas!$F$47</f>
        <v>0.2</v>
      </c>
      <c r="L13" s="210">
        <f>VLOOKUP(J13,Tablas!$I$60:$K$65,3,FALSE)</f>
        <v>1</v>
      </c>
      <c r="M13" s="210">
        <f t="shared" si="2"/>
        <v>0</v>
      </c>
      <c r="N13" s="210">
        <f t="shared" si="3"/>
        <v>1</v>
      </c>
      <c r="O13" s="210">
        <f t="shared" si="4"/>
        <v>2</v>
      </c>
      <c r="P13" s="210">
        <f>IF(J13=Tablas!I66,O13,N13)</f>
        <v>1</v>
      </c>
      <c r="Q13" s="210">
        <f>INDEX(Tablas!$E$59:$G$81,P13,1)</f>
        <v>0.68200000000000005</v>
      </c>
      <c r="R13" s="210">
        <f>INDEX(Tablas!$E$59:$G$81,P13,2)</f>
        <v>0.45</v>
      </c>
      <c r="S13" s="211">
        <f>INDEX(Tablas!$E$59:$G$81,P13,3)</f>
        <v>-0.14000000000000001</v>
      </c>
      <c r="T13" s="325"/>
      <c r="U13" s="327">
        <f>IF(G13=0,0,POWER(G13,R13)*Q13+S13)</f>
        <v>1.2734013272764781</v>
      </c>
      <c r="V13" s="313">
        <f>IF(G13=0,0,U13/G13)</f>
        <v>0.25215867866860953</v>
      </c>
      <c r="AE13" s="172"/>
      <c r="AF13" s="172"/>
      <c r="AG13" s="172"/>
      <c r="AH13" s="172"/>
      <c r="AI13" s="172"/>
      <c r="AJ13" s="174"/>
      <c r="AY13" s="175">
        <f>IF(AY10=Z12,1,0)</f>
        <v>0</v>
      </c>
      <c r="AZ13" s="175">
        <f>IF(AZ10=AA12,1,0)</f>
        <v>0</v>
      </c>
      <c r="BA13" s="175">
        <f>IF(BA10=AA12,1,0)</f>
        <v>0</v>
      </c>
      <c r="BB13" s="175">
        <f>IF(BB10=AA12,1,0)</f>
        <v>0</v>
      </c>
      <c r="BC13" s="175">
        <f>IF(BC10=AA12,1,0)</f>
        <v>0</v>
      </c>
      <c r="BD13" s="175">
        <f>IF(BD10=AA12,1,0)</f>
        <v>0</v>
      </c>
      <c r="BE13" s="175">
        <f>IF(BE10=AA12,1,0)</f>
        <v>1</v>
      </c>
      <c r="BF13" s="175">
        <f>IF(BF10=AA12,1,0)</f>
        <v>0</v>
      </c>
      <c r="BG13" s="175">
        <f>IF(BG10=AA12,1,0)</f>
        <v>0</v>
      </c>
      <c r="BH13" s="175">
        <f>IF(BH10=AA12,1,0)</f>
        <v>0</v>
      </c>
      <c r="BI13" s="175">
        <f>IF(BI10=AA12,1,0)</f>
        <v>0</v>
      </c>
      <c r="BJ13" s="175">
        <f>IF(BJ10=AA12,1,0)</f>
        <v>0</v>
      </c>
      <c r="BK13" s="175">
        <f>IF(BK10=AA12,1,0)</f>
        <v>0</v>
      </c>
      <c r="BL13" s="175">
        <f>IF(BL10=AA12,1,0)</f>
        <v>0</v>
      </c>
      <c r="CC13" s="173"/>
    </row>
    <row r="14" spans="1:81" ht="12" customHeight="1" x14ac:dyDescent="0.2">
      <c r="B14" s="305" t="s">
        <v>295</v>
      </c>
      <c r="C14" s="154" t="s">
        <v>34</v>
      </c>
      <c r="D14" s="309" t="str">
        <f>'Consumos TIPO'!$H$11</f>
        <v>VIVIENDA TIPO C</v>
      </c>
      <c r="E14" s="144">
        <f>'Consumos TIPO'!$K$11</f>
        <v>0</v>
      </c>
      <c r="F14" s="311">
        <f>'Consumos TIPO'!$Q$36</f>
        <v>0.97499999999999998</v>
      </c>
      <c r="G14" s="313">
        <f>E14*F14</f>
        <v>0</v>
      </c>
      <c r="H14" s="317"/>
      <c r="I14" s="257"/>
      <c r="J14" s="235" t="str">
        <f>J13</f>
        <v>Viviendas</v>
      </c>
      <c r="K14" s="236">
        <f>Tablas!$I$47</f>
        <v>0.2</v>
      </c>
      <c r="L14" s="210">
        <f>VLOOKUP(J14,Tablas!$I$60:$K$65,3,FALSE)</f>
        <v>1</v>
      </c>
      <c r="M14" s="210">
        <f t="shared" si="2"/>
        <v>0</v>
      </c>
      <c r="N14" s="210">
        <f t="shared" si="3"/>
        <v>1</v>
      </c>
      <c r="O14" s="210">
        <f t="shared" si="4"/>
        <v>1</v>
      </c>
      <c r="P14" s="210">
        <f>IF(J14=Tablas!I67,O14,N14)</f>
        <v>1</v>
      </c>
      <c r="Q14" s="210">
        <f>INDEX(Tablas!$E$59:$G$81,P14,1)</f>
        <v>0.68200000000000005</v>
      </c>
      <c r="R14" s="210">
        <f>INDEX(Tablas!$E$59:$G$81,P14,2)</f>
        <v>0.45</v>
      </c>
      <c r="S14" s="211">
        <f>INDEX(Tablas!$E$59:$G$81,P14,3)</f>
        <v>-0.14000000000000001</v>
      </c>
      <c r="T14" s="325"/>
      <c r="U14" s="327">
        <f>IF(G14=0,0,POWER(G14,R14)*Q14+S14)</f>
        <v>0</v>
      </c>
      <c r="V14" s="313">
        <f>IF(G14=0,0,U14/G14)</f>
        <v>0</v>
      </c>
      <c r="X14" s="238" t="s">
        <v>312</v>
      </c>
      <c r="Y14" s="475" t="s">
        <v>176</v>
      </c>
      <c r="Z14" s="475"/>
      <c r="AA14" s="475"/>
      <c r="AB14" s="475"/>
      <c r="AC14" s="476"/>
      <c r="AE14" s="185" t="s">
        <v>348</v>
      </c>
      <c r="AF14" s="146" t="s">
        <v>349</v>
      </c>
      <c r="AG14" s="146" t="s">
        <v>350</v>
      </c>
      <c r="AH14" s="146" t="s">
        <v>351</v>
      </c>
      <c r="AI14" s="147" t="s">
        <v>350</v>
      </c>
      <c r="AJ14" s="174"/>
      <c r="AY14" s="175">
        <f>AY13*(B16+C16)</f>
        <v>0</v>
      </c>
      <c r="AZ14" s="175">
        <f>AZ13*(B16+C16)</f>
        <v>0</v>
      </c>
      <c r="BA14" s="175">
        <f>BA13*(B16+C16)</f>
        <v>0</v>
      </c>
      <c r="BB14" s="175">
        <f>BB13*(B16+C16)</f>
        <v>0</v>
      </c>
      <c r="BC14" s="175">
        <f>BC13*(B16+C16)</f>
        <v>0</v>
      </c>
      <c r="BD14" s="175">
        <f>BD13*(B16+C16)</f>
        <v>0</v>
      </c>
      <c r="BE14" s="175">
        <f>BE13*(B16+C16)</f>
        <v>15</v>
      </c>
      <c r="BF14" s="175">
        <f>BF13*(B16+C16)</f>
        <v>0</v>
      </c>
      <c r="BG14" s="175">
        <f>BG13*(B16+C16)</f>
        <v>0</v>
      </c>
      <c r="BH14" s="175">
        <f>BH13*(B16+C16)</f>
        <v>0</v>
      </c>
      <c r="BI14" s="175">
        <f>BI13*(B16+C16)</f>
        <v>0</v>
      </c>
      <c r="BJ14" s="175">
        <f>BJ13*(B16+C16)</f>
        <v>0</v>
      </c>
      <c r="BK14" s="175">
        <f>BK13*(B16+C16)</f>
        <v>0</v>
      </c>
      <c r="BL14" s="175">
        <f>BL13*(B16+C16)</f>
        <v>0</v>
      </c>
      <c r="CC14" s="173"/>
    </row>
    <row r="15" spans="1:81" ht="12" customHeight="1" thickBot="1" x14ac:dyDescent="0.25">
      <c r="B15" s="306" t="s">
        <v>296</v>
      </c>
      <c r="C15" s="307" t="s">
        <v>297</v>
      </c>
      <c r="D15" s="309" t="str">
        <f>'Consumos TIPO'!$H$12</f>
        <v>VIVIENDA TIPO D</v>
      </c>
      <c r="E15" s="144">
        <f>'Consumos TIPO'!$K$12</f>
        <v>0</v>
      </c>
      <c r="F15" s="311">
        <f>'Consumos TIPO'!$V$36</f>
        <v>1.1399999999999999</v>
      </c>
      <c r="G15" s="313">
        <f>E15*F15</f>
        <v>0</v>
      </c>
      <c r="H15" s="317"/>
      <c r="I15" s="257"/>
      <c r="J15" s="235" t="str">
        <f>J14</f>
        <v>Viviendas</v>
      </c>
      <c r="K15" s="236">
        <f>Tablas!$L$47</f>
        <v>0.2</v>
      </c>
      <c r="L15" s="210">
        <f>VLOOKUP(J15,Tablas!$I$60:$K$65,3,FALSE)</f>
        <v>1</v>
      </c>
      <c r="M15" s="210">
        <f t="shared" si="2"/>
        <v>0</v>
      </c>
      <c r="N15" s="210">
        <f t="shared" si="3"/>
        <v>1</v>
      </c>
      <c r="O15" s="210">
        <f t="shared" si="4"/>
        <v>1</v>
      </c>
      <c r="P15" s="210">
        <f>IF(J15=Tablas!I68,O15,N15)</f>
        <v>1</v>
      </c>
      <c r="Q15" s="210">
        <f>INDEX(Tablas!$E$59:$G$81,P15,1)</f>
        <v>0.68200000000000005</v>
      </c>
      <c r="R15" s="210">
        <f>INDEX(Tablas!$E$59:$G$81,P15,2)</f>
        <v>0.45</v>
      </c>
      <c r="S15" s="211">
        <f>INDEX(Tablas!$E$59:$G$81,P15,3)</f>
        <v>-0.14000000000000001</v>
      </c>
      <c r="T15" s="325"/>
      <c r="U15" s="327">
        <f>IF(G15=0,0,POWER(G15,R15)*Q15+S15)</f>
        <v>0</v>
      </c>
      <c r="V15" s="313">
        <f>IF(G15=0,0,U15/G15)</f>
        <v>0</v>
      </c>
      <c r="X15" s="239" t="s">
        <v>313</v>
      </c>
      <c r="Y15" s="477" t="s">
        <v>95</v>
      </c>
      <c r="Z15" s="477"/>
      <c r="AA15" s="477"/>
      <c r="AB15" s="477"/>
      <c r="AC15" s="478"/>
      <c r="AE15" s="191" t="s">
        <v>352</v>
      </c>
      <c r="AF15" s="145" t="s">
        <v>353</v>
      </c>
      <c r="AG15" s="145" t="s">
        <v>354</v>
      </c>
      <c r="AH15" s="145" t="s">
        <v>355</v>
      </c>
      <c r="AI15" s="148" t="s">
        <v>354</v>
      </c>
      <c r="AJ15" s="174"/>
      <c r="AY15" s="229"/>
      <c r="BH15" s="175"/>
      <c r="BI15" s="175"/>
      <c r="BJ15" s="175"/>
      <c r="BK15" s="175"/>
      <c r="BL15" s="175"/>
    </row>
    <row r="16" spans="1:81" ht="12" customHeight="1" thickBot="1" x14ac:dyDescent="0.25">
      <c r="B16" s="142">
        <v>15</v>
      </c>
      <c r="C16" s="143">
        <v>0</v>
      </c>
      <c r="D16" s="310" t="str">
        <f>'Consumos TIPO'!$H$13</f>
        <v>VIVIENDA TIPO E</v>
      </c>
      <c r="E16" s="149">
        <f>'Consumos TIPO'!$K$13</f>
        <v>0</v>
      </c>
      <c r="F16" s="311">
        <f>'Consumos TIPO'!$AA$36</f>
        <v>0.68</v>
      </c>
      <c r="G16" s="314">
        <f>E16*F16</f>
        <v>0</v>
      </c>
      <c r="H16" s="318"/>
      <c r="I16" s="258"/>
      <c r="J16" s="235" t="str">
        <f>J15</f>
        <v>Viviendas</v>
      </c>
      <c r="K16" s="236">
        <f>Tablas!$O$47</f>
        <v>0.2</v>
      </c>
      <c r="L16" s="210">
        <f>VLOOKUP(J16,Tablas!$I$60:$K$65,3,FALSE)</f>
        <v>1</v>
      </c>
      <c r="M16" s="210">
        <f t="shared" si="2"/>
        <v>0</v>
      </c>
      <c r="N16" s="210">
        <f t="shared" si="3"/>
        <v>1</v>
      </c>
      <c r="O16" s="210">
        <f t="shared" si="4"/>
        <v>1</v>
      </c>
      <c r="P16" s="210">
        <f>IF(J16=Tablas!I69,O16,N16)</f>
        <v>1</v>
      </c>
      <c r="Q16" s="210">
        <f>INDEX(Tablas!$E$59:$G$81,P16,1)</f>
        <v>0.68200000000000005</v>
      </c>
      <c r="R16" s="210">
        <f>INDEX(Tablas!$E$59:$G$81,P16,2)</f>
        <v>0.45</v>
      </c>
      <c r="S16" s="211">
        <f>INDEX(Tablas!$E$59:$G$81,P16,3)</f>
        <v>-0.14000000000000001</v>
      </c>
      <c r="T16" s="325"/>
      <c r="U16" s="328">
        <f>IF(G16=0,0,POWER(G16,R16)*Q16+S16)</f>
        <v>0</v>
      </c>
      <c r="V16" s="314">
        <f>IF(G16=0,0,U16/G16)</f>
        <v>0</v>
      </c>
      <c r="X16" s="461" t="str">
        <f>IF(INDEX(Tablas!$C$88:$I$93,MATCH(Y14,Tablas!$L$88:$L$93,0),MATCH(Y15,serie,0))="SI","","La serie no existe en el materail seleccionado")</f>
        <v/>
      </c>
      <c r="Y16" s="461"/>
      <c r="Z16" s="461"/>
      <c r="AA16" s="461"/>
      <c r="AB16" s="461"/>
      <c r="AC16" s="245"/>
      <c r="AE16" s="191"/>
      <c r="AF16" s="145" t="s">
        <v>143</v>
      </c>
      <c r="AG16" s="145" t="s">
        <v>356</v>
      </c>
      <c r="AH16" s="145" t="s">
        <v>357</v>
      </c>
      <c r="AI16" s="162" t="s">
        <v>358</v>
      </c>
      <c r="AJ16" s="174"/>
      <c r="BH16" s="175"/>
      <c r="BI16" s="175"/>
      <c r="BJ16" s="175"/>
      <c r="BK16" s="175"/>
      <c r="BL16" s="175"/>
    </row>
    <row r="17" spans="1:81" s="176" customFormat="1" ht="12" customHeight="1" thickBot="1" x14ac:dyDescent="0.25">
      <c r="A17" s="172"/>
      <c r="B17" s="172"/>
      <c r="C17" s="172"/>
      <c r="D17" s="246"/>
      <c r="E17" s="319">
        <f>SUM(E12:E16)</f>
        <v>25</v>
      </c>
      <c r="F17" s="320" t="s">
        <v>160</v>
      </c>
      <c r="G17" s="321">
        <f>SUM(G12:G16)</f>
        <v>23.25</v>
      </c>
      <c r="H17" s="173"/>
      <c r="I17" s="322">
        <f>SUM(I12:I16)</f>
        <v>0</v>
      </c>
      <c r="J17" s="251" t="str">
        <f>J12</f>
        <v>Viviendas</v>
      </c>
      <c r="K17" s="252">
        <f>IF(E17=1,MAX(K12:K16),MAX(F12:F16,I12:I16))</f>
        <v>1.1399999999999999</v>
      </c>
      <c r="L17" s="252">
        <f>VLOOKUP(J17,Tablas!$I$60:$K$65,3,FALSE)</f>
        <v>1</v>
      </c>
      <c r="M17" s="252">
        <f t="shared" si="2"/>
        <v>3</v>
      </c>
      <c r="N17" s="252">
        <f t="shared" si="3"/>
        <v>4</v>
      </c>
      <c r="O17" s="252">
        <f t="shared" si="4"/>
        <v>3</v>
      </c>
      <c r="P17" s="252">
        <f>IF(J17=Tablas!I69,O17,N17)</f>
        <v>4</v>
      </c>
      <c r="Q17" s="252">
        <f>INDEX(Tablas!$E$59:$G$81,P17,1)</f>
        <v>1.7</v>
      </c>
      <c r="R17" s="252">
        <f>INDEX(Tablas!$E$59:$G$81,P17,2)</f>
        <v>0.21</v>
      </c>
      <c r="S17" s="252">
        <f>INDEX(Tablas!$E$59:$G$81,P17,3)</f>
        <v>-0.7</v>
      </c>
      <c r="T17" s="253">
        <f>G17+I17</f>
        <v>23.25</v>
      </c>
      <c r="U17" s="253">
        <f>IF(T17=0,0,POWER(T17,R17)*Q17+S17)</f>
        <v>2.5915294289833843</v>
      </c>
      <c r="V17" s="254">
        <f>IF(T17=0,0,U17/T17)</f>
        <v>0.11146363135412406</v>
      </c>
      <c r="W17" s="173"/>
      <c r="X17" s="172"/>
      <c r="Y17" s="172"/>
      <c r="Z17" s="172"/>
      <c r="AA17" s="172"/>
      <c r="AB17" s="172"/>
      <c r="AC17" s="172"/>
      <c r="AD17" s="173"/>
      <c r="AE17" s="324" t="s">
        <v>359</v>
      </c>
      <c r="AF17" s="337">
        <f>INDEX(Tablas!$C$204:$D$208,MATCH(AA12,Tablas!$B$204:$B$208,1),IF(AE17=Tablas!$C$203,1,2))</f>
        <v>35</v>
      </c>
      <c r="AG17" s="338">
        <f>IF('Consumos TIPO'!$D$9&lt;=50,1,1.33)*INDEX(Tablas!$C$212:$G$225,MATCH(AA12,Tablas!$B$212:$B$225,0),MATCH(AF17,Tablas!$C$211:$G$211,0))</f>
        <v>7.3000000000000007</v>
      </c>
      <c r="AH17" s="339">
        <f>SUM(B16:C16)</f>
        <v>15</v>
      </c>
      <c r="AI17" s="340">
        <f>AG17*AH17</f>
        <v>109.50000000000001</v>
      </c>
      <c r="AJ17" s="174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229">
        <f>IF(C14="SI",AI17,0)</f>
        <v>109.50000000000001</v>
      </c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2"/>
    </row>
  </sheetData>
  <sheetProtection algorithmName="SHA-512" hashValue="7ZtGObnf8HWrIfJQGH/elsxIl0PRgi4tEV8R7NInJ6WzqYZmIMGJvH0hz28zV/VbD2pRLAdJvfqMODtRbzSdTA==" saltValue="cLOCsKPfyS3/E5vHrJTocg==" spinCount="100000" sheet="1" objects="1" scenarios="1"/>
  <mergeCells count="9">
    <mergeCell ref="B12:C12"/>
    <mergeCell ref="Y14:AC14"/>
    <mergeCell ref="Y15:AC15"/>
    <mergeCell ref="X16:AB16"/>
    <mergeCell ref="F2:H2"/>
    <mergeCell ref="B4:C4"/>
    <mergeCell ref="B6:C6"/>
    <mergeCell ref="B9:C9"/>
    <mergeCell ref="B10:C10"/>
  </mergeCells>
  <conditionalFormatting sqref="AC12 AE12">
    <cfRule type="cellIs" dxfId="6" priority="34" stopIfTrue="1" operator="greaterThan">
      <formula>3</formula>
    </cfRule>
  </conditionalFormatting>
  <conditionalFormatting sqref="X16">
    <cfRule type="cellIs" dxfId="5" priority="31" stopIfTrue="1" operator="equal">
      <formula>"La serie no existe en el materail seleccionado"</formula>
    </cfRule>
  </conditionalFormatting>
  <dataValidations count="5">
    <dataValidation type="list" allowBlank="1" showInputMessage="1" showErrorMessage="1" sqref="Y15:AC15" xr:uid="{00000000-0002-0000-0500-000000000000}">
      <formula1>IF(Y14="PP (Polipropileno)",pp,IF(Y14="PB (polibutileno)",pb,pex))</formula1>
    </dataValidation>
    <dataValidation type="list" allowBlank="1" showInputMessage="1" showErrorMessage="1" sqref="C14" xr:uid="{00000000-0002-0000-0500-000001000000}">
      <formula1>sn</formula1>
    </dataValidation>
    <dataValidation type="list" allowBlank="1" showInputMessage="1" showErrorMessage="1" sqref="AA12" xr:uid="{00000000-0002-0000-0500-000002000000}">
      <formula1>diametros</formula1>
    </dataValidation>
    <dataValidation type="list" allowBlank="1" showInputMessage="1" showErrorMessage="1" sqref="Y14" xr:uid="{00000000-0002-0000-0500-000003000000}">
      <formula1>tipos</formula1>
    </dataValidation>
    <dataValidation type="list" allowBlank="1" showInputMessage="1" showErrorMessage="1" sqref="AE17" xr:uid="{00000000-0002-0000-0500-000004000000}">
      <formula1>int_ext</formula1>
    </dataValidation>
  </dataValidations>
  <pageMargins left="1.33" right="0.39370078740157483" top="0.46" bottom="0.59" header="0.19" footer="0"/>
  <pageSetup paperSize="9" scale="5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Button 1">
              <controlPr defaultSize="0" print="0" autoFill="0" autoPict="0" macro="[0]!copiaAF">
                <anchor moveWithCells="1" sizeWithCells="1">
                  <from>
                    <xdr:col>4</xdr:col>
                    <xdr:colOff>95250</xdr:colOff>
                    <xdr:row>2</xdr:row>
                    <xdr:rowOff>9525</xdr:rowOff>
                  </from>
                  <to>
                    <xdr:col>8</xdr:col>
                    <xdr:colOff>447675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Button 2">
              <controlPr defaultSize="0" print="0" autoFill="0" autoPict="0" macro="[0]!BorrarAF">
                <anchor moveWithCells="1" sizeWithCells="1">
                  <from>
                    <xdr:col>7</xdr:col>
                    <xdr:colOff>57150</xdr:colOff>
                    <xdr:row>4</xdr:row>
                    <xdr:rowOff>85725</xdr:rowOff>
                  </from>
                  <to>
                    <xdr:col>8</xdr:col>
                    <xdr:colOff>447675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Button 3">
              <controlPr defaultSize="0" print="0" autoFill="0" autoPict="0" macro="[0]!BorraultimoAF">
                <anchor moveWithCells="1" sizeWithCells="1">
                  <from>
                    <xdr:col>4</xdr:col>
                    <xdr:colOff>104775</xdr:colOff>
                    <xdr:row>4</xdr:row>
                    <xdr:rowOff>85725</xdr:rowOff>
                  </from>
                  <to>
                    <xdr:col>6</xdr:col>
                    <xdr:colOff>466725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theme="5" tint="-0.249977111117893"/>
  </sheetPr>
  <dimension ref="C1:AF34"/>
  <sheetViews>
    <sheetView zoomScale="90" zoomScaleNormal="90" workbookViewId="0">
      <selection activeCell="D29" sqref="D29"/>
    </sheetView>
  </sheetViews>
  <sheetFormatPr baseColWidth="10" defaultRowHeight="15" x14ac:dyDescent="0.25"/>
  <cols>
    <col min="1" max="2" width="3.7109375" style="80" customWidth="1"/>
    <col min="3" max="3" width="34.42578125" style="80" customWidth="1"/>
    <col min="4" max="16" width="7.7109375" style="80" customWidth="1"/>
    <col min="17" max="17" width="1.7109375" style="80" customWidth="1"/>
    <col min="18" max="18" width="3.7109375" style="80" customWidth="1"/>
    <col min="19" max="64" width="7.7109375" style="80" customWidth="1"/>
    <col min="65" max="16384" width="11.42578125" style="80"/>
  </cols>
  <sheetData>
    <row r="1" spans="3:32" x14ac:dyDescent="0.25"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3:32" s="102" customFormat="1" ht="20.100000000000001" customHeight="1" x14ac:dyDescent="0.25">
      <c r="C2" s="102" t="s">
        <v>394</v>
      </c>
    </row>
    <row r="3" spans="3:32" ht="15.75" thickBot="1" x14ac:dyDescent="0.3"/>
    <row r="4" spans="3:32" ht="15.75" thickBot="1" x14ac:dyDescent="0.3">
      <c r="C4" s="498" t="s">
        <v>391</v>
      </c>
      <c r="D4" s="499"/>
      <c r="F4" s="498" t="s">
        <v>383</v>
      </c>
      <c r="G4" s="500"/>
      <c r="H4" s="500"/>
      <c r="I4" s="500"/>
      <c r="J4" s="499"/>
      <c r="L4" s="498" t="s">
        <v>382</v>
      </c>
      <c r="M4" s="500"/>
      <c r="N4" s="500"/>
      <c r="O4" s="500"/>
      <c r="P4" s="499"/>
      <c r="S4" s="492" t="s">
        <v>377</v>
      </c>
      <c r="T4" s="493"/>
      <c r="U4" s="493"/>
      <c r="V4" s="494">
        <f>MAX(D6,J7,P7)*3.6</f>
        <v>0.93295059443401851</v>
      </c>
      <c r="W4" s="495"/>
      <c r="X4" s="357" t="s">
        <v>378</v>
      </c>
      <c r="Y4" s="358"/>
      <c r="Z4" s="358"/>
      <c r="AA4" s="358"/>
      <c r="AB4" s="359" t="s">
        <v>379</v>
      </c>
      <c r="AC4" s="358"/>
      <c r="AD4" s="358"/>
      <c r="AE4" s="358"/>
      <c r="AF4" s="360"/>
    </row>
    <row r="5" spans="3:32" ht="15.75" thickBot="1" x14ac:dyDescent="0.3">
      <c r="C5" s="345" t="s">
        <v>368</v>
      </c>
      <c r="D5" s="354">
        <v>1</v>
      </c>
      <c r="F5" s="492" t="s">
        <v>369</v>
      </c>
      <c r="G5" s="493"/>
      <c r="H5" s="493"/>
      <c r="I5" s="493"/>
      <c r="J5" s="352">
        <f>'Consumos TIPO'!D14</f>
        <v>2.5915294289833843</v>
      </c>
      <c r="L5" s="492" t="s">
        <v>370</v>
      </c>
      <c r="M5" s="493"/>
      <c r="N5" s="493"/>
      <c r="O5" s="493"/>
      <c r="P5" s="353">
        <f>'Tramos ACS'!D4</f>
        <v>109.50000000000001</v>
      </c>
      <c r="S5" s="485" t="s">
        <v>380</v>
      </c>
      <c r="T5" s="486"/>
      <c r="U5" s="486"/>
      <c r="V5" s="496">
        <f>SUM(D22:P22)+SUM(D32:P32)</f>
        <v>2.1028902079279992</v>
      </c>
      <c r="W5" s="497"/>
      <c r="X5" s="489" t="s">
        <v>381</v>
      </c>
      <c r="Y5" s="490"/>
      <c r="Z5" s="490"/>
      <c r="AA5" s="490"/>
      <c r="AB5" s="490"/>
      <c r="AC5" s="490"/>
      <c r="AD5" s="490"/>
      <c r="AE5" s="490"/>
      <c r="AF5" s="491"/>
    </row>
    <row r="6" spans="3:32" x14ac:dyDescent="0.25">
      <c r="C6" s="346" t="s">
        <v>385</v>
      </c>
      <c r="D6" s="343">
        <f>D5*D7</f>
        <v>6.9444444444444448E-2</v>
      </c>
      <c r="F6" s="487" t="s">
        <v>385</v>
      </c>
      <c r="G6" s="488"/>
      <c r="H6" s="488"/>
      <c r="I6" s="488"/>
      <c r="J6" s="343">
        <f>J5*0.1</f>
        <v>0.25915294289833846</v>
      </c>
      <c r="L6" s="487" t="s">
        <v>385</v>
      </c>
      <c r="M6" s="488"/>
      <c r="N6" s="488"/>
      <c r="O6" s="488"/>
      <c r="P6" s="343">
        <f>P5/3.48/3600</f>
        <v>8.7404214559386982E-3</v>
      </c>
    </row>
    <row r="7" spans="3:32" ht="15.75" thickBot="1" x14ac:dyDescent="0.3">
      <c r="C7" s="347" t="s">
        <v>384</v>
      </c>
      <c r="D7" s="344">
        <f>250/3600</f>
        <v>6.9444444444444448E-2</v>
      </c>
      <c r="F7" s="485" t="s">
        <v>384</v>
      </c>
      <c r="G7" s="486"/>
      <c r="H7" s="486"/>
      <c r="I7" s="486"/>
      <c r="J7" s="344">
        <f>J6/D5</f>
        <v>0.25915294289833846</v>
      </c>
      <c r="L7" s="485" t="s">
        <v>384</v>
      </c>
      <c r="M7" s="486"/>
      <c r="N7" s="486"/>
      <c r="O7" s="486"/>
      <c r="P7" s="344">
        <f>P6/D5</f>
        <v>8.7404214559386982E-3</v>
      </c>
    </row>
    <row r="8" spans="3:32" ht="15.75" thickBot="1" x14ac:dyDescent="0.3"/>
    <row r="9" spans="3:32" x14ac:dyDescent="0.25">
      <c r="C9" s="368" t="s">
        <v>176</v>
      </c>
    </row>
    <row r="10" spans="3:32" ht="15.75" thickBot="1" x14ac:dyDescent="0.3">
      <c r="C10" s="369" t="s">
        <v>95</v>
      </c>
      <c r="K10" s="83"/>
    </row>
    <row r="11" spans="3:32" ht="15.75" thickBot="1" x14ac:dyDescent="0.3"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83"/>
    </row>
    <row r="12" spans="3:32" ht="15.75" thickBot="1" x14ac:dyDescent="0.3">
      <c r="C12" s="361" t="s">
        <v>393</v>
      </c>
      <c r="D12" s="365">
        <v>1</v>
      </c>
      <c r="E12" s="365">
        <f>D12+1</f>
        <v>2</v>
      </c>
      <c r="F12" s="365">
        <f t="shared" ref="F12:O12" si="0">E12+1</f>
        <v>3</v>
      </c>
      <c r="G12" s="365">
        <f t="shared" si="0"/>
        <v>4</v>
      </c>
      <c r="H12" s="365">
        <f t="shared" si="0"/>
        <v>5</v>
      </c>
      <c r="I12" s="365">
        <f t="shared" si="0"/>
        <v>6</v>
      </c>
      <c r="J12" s="365">
        <f t="shared" si="0"/>
        <v>7</v>
      </c>
      <c r="K12" s="365">
        <f t="shared" si="0"/>
        <v>8</v>
      </c>
      <c r="L12" s="365">
        <f t="shared" si="0"/>
        <v>9</v>
      </c>
      <c r="M12" s="365">
        <f t="shared" si="0"/>
        <v>10</v>
      </c>
      <c r="N12" s="365">
        <f t="shared" si="0"/>
        <v>11</v>
      </c>
      <c r="O12" s="365">
        <f t="shared" si="0"/>
        <v>12</v>
      </c>
      <c r="P12" s="365">
        <v>13</v>
      </c>
    </row>
    <row r="13" spans="3:32" x14ac:dyDescent="0.25">
      <c r="C13" s="345" t="s">
        <v>387</v>
      </c>
      <c r="D13" s="349">
        <f>IF(D12&lt;=$D$5,D12,"A")</f>
        <v>1</v>
      </c>
      <c r="E13" s="349" t="str">
        <f t="shared" ref="E13" si="1">IF(E12&lt;=$D$5,E12,"A")</f>
        <v>A</v>
      </c>
      <c r="F13" s="349" t="str">
        <f t="shared" ref="F13" si="2">IF(F12&lt;=$D$5,F12,"A")</f>
        <v>A</v>
      </c>
      <c r="G13" s="349" t="str">
        <f t="shared" ref="G13" si="3">IF(G12&lt;=$D$5,G12,"A")</f>
        <v>A</v>
      </c>
      <c r="H13" s="349" t="str">
        <f t="shared" ref="H13" si="4">IF(H12&lt;=$D$5,H12,"A")</f>
        <v>A</v>
      </c>
      <c r="I13" s="349" t="str">
        <f t="shared" ref="I13" si="5">IF(I12&lt;=$D$5,I12,"A")</f>
        <v>A</v>
      </c>
      <c r="J13" s="349" t="str">
        <f t="shared" ref="J13" si="6">IF(J12&lt;=$D$5,J12,"A")</f>
        <v>A</v>
      </c>
      <c r="K13" s="349" t="str">
        <f t="shared" ref="K13" si="7">IF(K12&lt;=$D$5,K12,"A")</f>
        <v>A</v>
      </c>
      <c r="L13" s="349" t="str">
        <f t="shared" ref="L13" si="8">IF(L12&lt;=$D$5,L12,"A")</f>
        <v>A</v>
      </c>
      <c r="M13" s="349" t="str">
        <f t="shared" ref="M13" si="9">IF(M12&lt;=$D$5,M12,"A")</f>
        <v>A</v>
      </c>
      <c r="N13" s="349" t="str">
        <f t="shared" ref="N13" si="10">IF(N12&lt;=$D$5,N12,"A")</f>
        <v>A</v>
      </c>
      <c r="O13" s="349" t="str">
        <f t="shared" ref="O13" si="11">IF(O12&lt;=$D$5,O12,"A")</f>
        <v>A</v>
      </c>
      <c r="P13" s="349" t="str">
        <f t="shared" ref="P13" si="12">IF(P12&lt;=$D$5,P12,"A")</f>
        <v>A</v>
      </c>
    </row>
    <row r="14" spans="3:32" x14ac:dyDescent="0.25">
      <c r="C14" s="346" t="s">
        <v>388</v>
      </c>
      <c r="D14" s="350">
        <f>IF(D13="A","A",$D$13*MAX($D$7,$J$7,$P$7))</f>
        <v>0.25915294289833846</v>
      </c>
      <c r="E14" s="350" t="str">
        <f t="shared" ref="E14" si="13">IF(E13="A","A",$D$13*MAX($D$7,$J$7,$P$7))</f>
        <v>A</v>
      </c>
      <c r="F14" s="350" t="str">
        <f t="shared" ref="F14" si="14">IF(F13="A","A",$D$13*MAX($D$7,$J$7,$P$7))</f>
        <v>A</v>
      </c>
      <c r="G14" s="350" t="str">
        <f t="shared" ref="G14" si="15">IF(G13="A","A",$D$13*MAX($D$7,$J$7,$P$7))</f>
        <v>A</v>
      </c>
      <c r="H14" s="350" t="str">
        <f t="shared" ref="H14" si="16">IF(H13="A","A",$D$13*MAX($D$7,$J$7,$P$7))</f>
        <v>A</v>
      </c>
      <c r="I14" s="350" t="str">
        <f t="shared" ref="I14" si="17">IF(I13="A","A",$D$13*MAX($D$7,$J$7,$P$7))</f>
        <v>A</v>
      </c>
      <c r="J14" s="350" t="str">
        <f t="shared" ref="J14" si="18">IF(J13="A","A",$D$13*MAX($D$7,$J$7,$P$7))</f>
        <v>A</v>
      </c>
      <c r="K14" s="350" t="str">
        <f t="shared" ref="K14" si="19">IF(K13="A","A",$D$13*MAX($D$7,$J$7,$P$7))</f>
        <v>A</v>
      </c>
      <c r="L14" s="350" t="str">
        <f t="shared" ref="L14" si="20">IF(L13="A","A",$D$13*MAX($D$7,$J$7,$P$7))</f>
        <v>A</v>
      </c>
      <c r="M14" s="350" t="str">
        <f t="shared" ref="M14" si="21">IF(M13="A","A",$D$13*MAX($D$7,$J$7,$P$7))</f>
        <v>A</v>
      </c>
      <c r="N14" s="350" t="str">
        <f t="shared" ref="N14" si="22">IF(N13="A","A",$D$13*MAX($D$7,$J$7,$P$7))</f>
        <v>A</v>
      </c>
      <c r="O14" s="350" t="str">
        <f t="shared" ref="O14" si="23">IF(O13="A","A",$D$13*MAX($D$7,$J$7,$P$7))</f>
        <v>A</v>
      </c>
      <c r="P14" s="350" t="str">
        <f t="shared" ref="P14" si="24">IF(P13="A","A",$D$13*MAX($D$7,$J$7,$P$7))</f>
        <v>A</v>
      </c>
    </row>
    <row r="15" spans="3:32" x14ac:dyDescent="0.25">
      <c r="C15" s="346" t="s">
        <v>392</v>
      </c>
      <c r="D15" s="362">
        <f>IF(D13="A","A",INDEX(Tablas!$B$230:$B$235,MATCH(D14*3600,Tablas!$C$230:$C$235,1)+1,1))</f>
        <v>32</v>
      </c>
      <c r="E15" s="362" t="str">
        <f>IF(E13="A","A",INDEX(Tablas!$B$230:$B$235,MATCH(E14*3600,Tablas!$C$230:$C$235,1)+1,1))</f>
        <v>A</v>
      </c>
      <c r="F15" s="362" t="str">
        <f>IF(F13="A","A",INDEX(Tablas!$B$230:$B$235,MATCH(F14*3600,Tablas!$C$230:$C$235,1)+1,1))</f>
        <v>A</v>
      </c>
      <c r="G15" s="362" t="str">
        <f>IF(G13="A","A",INDEX(Tablas!$B$230:$B$235,MATCH(G14*3600,Tablas!$C$230:$C$235,1)+1,1))</f>
        <v>A</v>
      </c>
      <c r="H15" s="362" t="str">
        <f>IF(H13="A","A",INDEX(Tablas!$B$230:$B$235,MATCH(H14*3600,Tablas!$C$230:$C$235,1)+1,1))</f>
        <v>A</v>
      </c>
      <c r="I15" s="362" t="str">
        <f>IF(I13="A","A",INDEX(Tablas!$B$230:$B$235,MATCH(I14*3600,Tablas!$C$230:$C$235,1)+1,1))</f>
        <v>A</v>
      </c>
      <c r="J15" s="362" t="str">
        <f>IF(J13="A","A",INDEX(Tablas!$B$230:$B$235,MATCH(J14*3600,Tablas!$C$230:$C$235,1)+1,1))</f>
        <v>A</v>
      </c>
      <c r="K15" s="362" t="str">
        <f>IF(K13="A","A",INDEX(Tablas!$B$230:$B$235,MATCH(K14*3600,Tablas!$C$230:$C$235,1)+1,1))</f>
        <v>A</v>
      </c>
      <c r="L15" s="362" t="str">
        <f>IF(L13="A","A",INDEX(Tablas!$B$230:$B$235,MATCH(L14*3600,Tablas!$C$230:$C$235,1)+1,1))</f>
        <v>A</v>
      </c>
      <c r="M15" s="362" t="str">
        <f>IF(M13="A","A",INDEX(Tablas!$B$230:$B$235,MATCH(M14*3600,Tablas!$C$230:$C$235,1)+1,1))</f>
        <v>A</v>
      </c>
      <c r="N15" s="362" t="str">
        <f>IF(N13="A","A",INDEX(Tablas!$B$230:$B$235,MATCH(N14*3600,Tablas!$C$230:$C$235,1)+1,1))</f>
        <v>A</v>
      </c>
      <c r="O15" s="362" t="str">
        <f>IF(O13="A","A",INDEX(Tablas!$B$230:$B$235,MATCH(O14*3600,Tablas!$C$230:$C$235,1)+1,1))</f>
        <v>A</v>
      </c>
      <c r="P15" s="362" t="str">
        <f>IF(P13="A","A",INDEX(Tablas!$B$230:$B$235,MATCH(P14*3600,Tablas!$C$230:$C$235,1)+1,1))</f>
        <v>A</v>
      </c>
    </row>
    <row r="16" spans="3:32" x14ac:dyDescent="0.25">
      <c r="C16" s="346" t="s">
        <v>371</v>
      </c>
      <c r="D16" s="363">
        <f>IF(D13="A","A",INDEX(Tablas!$C$98:$P$111,MATCH(D15,Tablas!$B$98:$B$111,0),MATCH($C$10,Tablas!$C$96:$P$96,0)))</f>
        <v>23.4</v>
      </c>
      <c r="E16" s="363" t="str">
        <f>IF(E13="A","A",INDEX(Tablas!$C$98:$P$111,MATCH(E15,Tablas!$B$98:$B$111,0),MATCH($C$10,Tablas!$C$96:$P$96,0)))</f>
        <v>A</v>
      </c>
      <c r="F16" s="363" t="str">
        <f>IF(F13="A","A",INDEX(Tablas!$C$98:$P$111,MATCH(F15,Tablas!$B$98:$B$111,0),MATCH($C$10,Tablas!$C$96:$P$96,0)))</f>
        <v>A</v>
      </c>
      <c r="G16" s="363" t="str">
        <f>IF(G13="A","A",INDEX(Tablas!$C$98:$P$111,MATCH(G15,Tablas!$B$98:$B$111,0),MATCH($C$10,Tablas!$C$96:$P$96,0)))</f>
        <v>A</v>
      </c>
      <c r="H16" s="363" t="str">
        <f>IF(H13="A","A",INDEX(Tablas!$C$98:$P$111,MATCH(H15,Tablas!$B$98:$B$111,0),MATCH($C$10,Tablas!$C$96:$P$96,0)))</f>
        <v>A</v>
      </c>
      <c r="I16" s="363" t="str">
        <f>IF(I13="A","A",INDEX(Tablas!$C$98:$P$111,MATCH(I15,Tablas!$B$98:$B$111,0),MATCH($C$10,Tablas!$C$96:$P$96,0)))</f>
        <v>A</v>
      </c>
      <c r="J16" s="363" t="str">
        <f>IF(J13="A","A",INDEX(Tablas!$C$98:$P$111,MATCH(J15,Tablas!$B$98:$B$111,0),MATCH($C$10,Tablas!$C$96:$P$96,0)))</f>
        <v>A</v>
      </c>
      <c r="K16" s="363" t="str">
        <f>IF(K13="A","A",INDEX(Tablas!$C$98:$P$111,MATCH(K15,Tablas!$B$98:$B$111,0),MATCH($C$10,Tablas!$C$96:$P$96,0)))</f>
        <v>A</v>
      </c>
      <c r="L16" s="363" t="str">
        <f>IF(L13="A","A",INDEX(Tablas!$C$98:$P$111,MATCH(L15,Tablas!$B$98:$B$111,0),MATCH($C$10,Tablas!$C$96:$P$96,0)))</f>
        <v>A</v>
      </c>
      <c r="M16" s="363" t="str">
        <f>IF(M13="A","A",INDEX(Tablas!$C$98:$P$111,MATCH(M15,Tablas!$B$98:$B$111,0),MATCH($C$10,Tablas!$C$96:$P$96,0)))</f>
        <v>A</v>
      </c>
      <c r="N16" s="363" t="str">
        <f>IF(N13="A","A",INDEX(Tablas!$C$98:$P$111,MATCH(N15,Tablas!$B$98:$B$111,0),MATCH($C$10,Tablas!$C$96:$P$96,0)))</f>
        <v>A</v>
      </c>
      <c r="O16" s="363" t="str">
        <f>IF(O13="A","A",INDEX(Tablas!$C$98:$P$111,MATCH(O15,Tablas!$B$98:$B$111,0),MATCH($C$10,Tablas!$C$96:$P$96,0)))</f>
        <v>A</v>
      </c>
      <c r="P16" s="363" t="str">
        <f>IF(P13="A","A",INDEX(Tablas!$C$98:$P$111,MATCH(P15,Tablas!$B$98:$B$111,0),MATCH($C$10,Tablas!$C$96:$P$96,0)))</f>
        <v>A</v>
      </c>
    </row>
    <row r="17" spans="3:16" x14ac:dyDescent="0.25">
      <c r="C17" s="346" t="s">
        <v>372</v>
      </c>
      <c r="D17" s="350">
        <f>IF(D13="A","A",4000*D14/(PI()*D16*D16))</f>
        <v>0.6026075225229347</v>
      </c>
      <c r="E17" s="350" t="str">
        <f t="shared" ref="E17" si="25">IF(E13="A","A",4000*E14/(PI()*E16*E16))</f>
        <v>A</v>
      </c>
      <c r="F17" s="350" t="str">
        <f t="shared" ref="F17" si="26">IF(F13="A","A",4000*F14/(PI()*F16*F16))</f>
        <v>A</v>
      </c>
      <c r="G17" s="350" t="str">
        <f t="shared" ref="G17" si="27">IF(G13="A","A",4000*G14/(PI()*G16*G16))</f>
        <v>A</v>
      </c>
      <c r="H17" s="350" t="str">
        <f t="shared" ref="H17" si="28">IF(H13="A","A",4000*H14/(PI()*H16*H16))</f>
        <v>A</v>
      </c>
      <c r="I17" s="350" t="str">
        <f t="shared" ref="I17" si="29">IF(I13="A","A",4000*I14/(PI()*I16*I16))</f>
        <v>A</v>
      </c>
      <c r="J17" s="350" t="str">
        <f t="shared" ref="J17" si="30">IF(J13="A","A",4000*J14/(PI()*J16*J16))</f>
        <v>A</v>
      </c>
      <c r="K17" s="350" t="str">
        <f t="shared" ref="K17" si="31">IF(K13="A","A",4000*K14/(PI()*K16*K16))</f>
        <v>A</v>
      </c>
      <c r="L17" s="350" t="str">
        <f t="shared" ref="L17" si="32">IF(L13="A","A",4000*L14/(PI()*L16*L16))</f>
        <v>A</v>
      </c>
      <c r="M17" s="350" t="str">
        <f t="shared" ref="M17" si="33">IF(M13="A","A",4000*M14/(PI()*M16*M16))</f>
        <v>A</v>
      </c>
      <c r="N17" s="350" t="str">
        <f t="shared" ref="N17" si="34">IF(N13="A","A",4000*N14/(PI()*N16*N16))</f>
        <v>A</v>
      </c>
      <c r="O17" s="350" t="str">
        <f t="shared" ref="O17" si="35">IF(O13="A","A",4000*O14/(PI()*O16*O16))</f>
        <v>A</v>
      </c>
      <c r="P17" s="350" t="str">
        <f t="shared" ref="P17" si="36">IF(P13="A","A",4000*P14/(PI()*P16*P16))</f>
        <v>A</v>
      </c>
    </row>
    <row r="18" spans="3:16" x14ac:dyDescent="0.25">
      <c r="C18" s="346" t="s">
        <v>373</v>
      </c>
      <c r="D18" s="350">
        <f>IF(D13="A","A",9810*0.0056*D17^1.75*(D16/1000)^-1.25/100000)</f>
        <v>2.4739884799152932E-2</v>
      </c>
      <c r="E18" s="350" t="str">
        <f t="shared" ref="E18" si="37">IF(E13="A","A",9810*0.0056*E17^1.75*(E16/1000)^-1.25/100000)</f>
        <v>A</v>
      </c>
      <c r="F18" s="350" t="str">
        <f t="shared" ref="F18" si="38">IF(F13="A","A",9810*0.0056*F17^1.75*(F16/1000)^-1.25/100000)</f>
        <v>A</v>
      </c>
      <c r="G18" s="350" t="str">
        <f t="shared" ref="G18" si="39">IF(G13="A","A",9810*0.0056*G17^1.75*(G16/1000)^-1.25/100000)</f>
        <v>A</v>
      </c>
      <c r="H18" s="350" t="str">
        <f t="shared" ref="H18" si="40">IF(H13="A","A",9810*0.0056*H17^1.75*(H16/1000)^-1.25/100000)</f>
        <v>A</v>
      </c>
      <c r="I18" s="350" t="str">
        <f t="shared" ref="I18" si="41">IF(I13="A","A",9810*0.0056*I17^1.75*(I16/1000)^-1.25/100000)</f>
        <v>A</v>
      </c>
      <c r="J18" s="350" t="str">
        <f t="shared" ref="J18" si="42">IF(J13="A","A",9810*0.0056*J17^1.75*(J16/1000)^-1.25/100000)</f>
        <v>A</v>
      </c>
      <c r="K18" s="350" t="str">
        <f t="shared" ref="K18" si="43">IF(K13="A","A",9810*0.0056*K17^1.75*(K16/1000)^-1.25/100000)</f>
        <v>A</v>
      </c>
      <c r="L18" s="350" t="str">
        <f t="shared" ref="L18" si="44">IF(L13="A","A",9810*0.0056*L17^1.75*(L16/1000)^-1.25/100000)</f>
        <v>A</v>
      </c>
      <c r="M18" s="350" t="str">
        <f t="shared" ref="M18" si="45">IF(M13="A","A",9810*0.0056*M17^1.75*(M16/1000)^-1.25/100000)</f>
        <v>A</v>
      </c>
      <c r="N18" s="350" t="str">
        <f t="shared" ref="N18" si="46">IF(N13="A","A",9810*0.0056*N17^1.75*(N16/1000)^-1.25/100000)</f>
        <v>A</v>
      </c>
      <c r="O18" s="350" t="str">
        <f t="shared" ref="O18" si="47">IF(O13="A","A",9810*0.0056*O17^1.75*(O16/1000)^-1.25/100000)</f>
        <v>A</v>
      </c>
      <c r="P18" s="350" t="str">
        <f t="shared" ref="P18" si="48">IF(P13="A","A",9810*0.0056*P17^1.75*(P16/1000)^-1.25/100000)</f>
        <v>A</v>
      </c>
    </row>
    <row r="19" spans="3:16" x14ac:dyDescent="0.25">
      <c r="C19" s="346" t="s">
        <v>374</v>
      </c>
      <c r="D19" s="367">
        <v>18</v>
      </c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</row>
    <row r="20" spans="3:16" x14ac:dyDescent="0.25">
      <c r="C20" s="346" t="s">
        <v>375</v>
      </c>
      <c r="D20" s="348" t="s">
        <v>34</v>
      </c>
      <c r="E20" s="348" t="s">
        <v>35</v>
      </c>
      <c r="F20" s="348" t="s">
        <v>35</v>
      </c>
      <c r="G20" s="348" t="s">
        <v>35</v>
      </c>
      <c r="H20" s="348" t="s">
        <v>35</v>
      </c>
      <c r="I20" s="348" t="s">
        <v>35</v>
      </c>
      <c r="J20" s="348" t="s">
        <v>35</v>
      </c>
      <c r="K20" s="348" t="s">
        <v>35</v>
      </c>
      <c r="L20" s="348" t="s">
        <v>35</v>
      </c>
      <c r="M20" s="348" t="s">
        <v>35</v>
      </c>
      <c r="N20" s="348" t="s">
        <v>35</v>
      </c>
      <c r="O20" s="348" t="s">
        <v>35</v>
      </c>
      <c r="P20" s="348" t="s">
        <v>35</v>
      </c>
    </row>
    <row r="21" spans="3:16" ht="15.75" thickBot="1" x14ac:dyDescent="0.3">
      <c r="C21" s="347" t="s">
        <v>376</v>
      </c>
      <c r="D21" s="351">
        <f>IF(D13="A","A",D19*D18*1.25)</f>
        <v>0.55664740798094092</v>
      </c>
      <c r="E21" s="351" t="str">
        <f t="shared" ref="E21" si="49">IF(E13="A","A",E19*E18*1.25)</f>
        <v>A</v>
      </c>
      <c r="F21" s="351" t="str">
        <f t="shared" ref="F21:P21" si="50">IF(F13="A","A",F19*F18*1.25)</f>
        <v>A</v>
      </c>
      <c r="G21" s="351" t="str">
        <f t="shared" si="50"/>
        <v>A</v>
      </c>
      <c r="H21" s="351" t="str">
        <f t="shared" si="50"/>
        <v>A</v>
      </c>
      <c r="I21" s="351" t="str">
        <f t="shared" si="50"/>
        <v>A</v>
      </c>
      <c r="J21" s="351" t="str">
        <f t="shared" si="50"/>
        <v>A</v>
      </c>
      <c r="K21" s="351" t="str">
        <f t="shared" si="50"/>
        <v>A</v>
      </c>
      <c r="L21" s="351" t="str">
        <f t="shared" si="50"/>
        <v>A</v>
      </c>
      <c r="M21" s="351" t="str">
        <f t="shared" si="50"/>
        <v>A</v>
      </c>
      <c r="N21" s="351" t="str">
        <f t="shared" si="50"/>
        <v>A</v>
      </c>
      <c r="O21" s="351" t="str">
        <f t="shared" si="50"/>
        <v>A</v>
      </c>
      <c r="P21" s="351" t="str">
        <f t="shared" si="50"/>
        <v>A</v>
      </c>
    </row>
    <row r="22" spans="3:16" ht="15.75" thickBot="1" x14ac:dyDescent="0.3">
      <c r="D22" s="259">
        <f>IF(D13="A",0,IF(D20="SI",D21,0))</f>
        <v>0.55664740798094092</v>
      </c>
      <c r="E22" s="259">
        <f t="shared" ref="E22:P22" si="51">IF(E13="A",0,IF(E20="SI",E21,0))</f>
        <v>0</v>
      </c>
      <c r="F22" s="259">
        <f t="shared" si="51"/>
        <v>0</v>
      </c>
      <c r="G22" s="259">
        <f t="shared" si="51"/>
        <v>0</v>
      </c>
      <c r="H22" s="259">
        <f t="shared" si="51"/>
        <v>0</v>
      </c>
      <c r="I22" s="259">
        <f t="shared" si="51"/>
        <v>0</v>
      </c>
      <c r="J22" s="259">
        <f t="shared" si="51"/>
        <v>0</v>
      </c>
      <c r="K22" s="259">
        <f t="shared" si="51"/>
        <v>0</v>
      </c>
      <c r="L22" s="259">
        <f t="shared" si="51"/>
        <v>0</v>
      </c>
      <c r="M22" s="259">
        <f t="shared" si="51"/>
        <v>0</v>
      </c>
      <c r="N22" s="259">
        <f t="shared" si="51"/>
        <v>0</v>
      </c>
      <c r="O22" s="259">
        <f t="shared" si="51"/>
        <v>0</v>
      </c>
      <c r="P22" s="259">
        <f t="shared" si="51"/>
        <v>0</v>
      </c>
    </row>
    <row r="23" spans="3:16" ht="15.75" thickBot="1" x14ac:dyDescent="0.3">
      <c r="C23" s="361" t="s">
        <v>389</v>
      </c>
      <c r="D23" s="141">
        <f>IF(D13="A","",D13)</f>
        <v>1</v>
      </c>
      <c r="E23" s="141" t="str">
        <f t="shared" ref="E23:P23" si="52">IF(E13="A","",E13)</f>
        <v/>
      </c>
      <c r="F23" s="141" t="str">
        <f t="shared" si="52"/>
        <v/>
      </c>
      <c r="G23" s="141" t="str">
        <f t="shared" si="52"/>
        <v/>
      </c>
      <c r="H23" s="141" t="str">
        <f t="shared" si="52"/>
        <v/>
      </c>
      <c r="I23" s="141" t="str">
        <f t="shared" si="52"/>
        <v/>
      </c>
      <c r="J23" s="141" t="str">
        <f t="shared" si="52"/>
        <v/>
      </c>
      <c r="K23" s="141" t="str">
        <f t="shared" si="52"/>
        <v/>
      </c>
      <c r="L23" s="141" t="str">
        <f t="shared" si="52"/>
        <v/>
      </c>
      <c r="M23" s="141" t="str">
        <f t="shared" si="52"/>
        <v/>
      </c>
      <c r="N23" s="141" t="str">
        <f t="shared" si="52"/>
        <v/>
      </c>
      <c r="O23" s="141" t="str">
        <f t="shared" si="52"/>
        <v/>
      </c>
      <c r="P23" s="141" t="str">
        <f t="shared" si="52"/>
        <v/>
      </c>
    </row>
    <row r="24" spans="3:16" x14ac:dyDescent="0.25">
      <c r="C24" s="345" t="s">
        <v>390</v>
      </c>
      <c r="D24" s="364">
        <f t="shared" ref="D24" si="53">IF(D13="A","A",D13*MAX($D$7,$J$7,$P$7))</f>
        <v>0.25915294289833846</v>
      </c>
      <c r="E24" s="364" t="str">
        <f t="shared" ref="E24" si="54">IF(E13="A","A",E13*MAX($D$7,$J$7,$P$7))</f>
        <v>A</v>
      </c>
      <c r="F24" s="364" t="str">
        <f t="shared" ref="F24:P24" si="55">IF(F13="A","A",F13*MAX($D$7,$J$7,$P$7))</f>
        <v>A</v>
      </c>
      <c r="G24" s="364" t="str">
        <f t="shared" si="55"/>
        <v>A</v>
      </c>
      <c r="H24" s="364" t="str">
        <f t="shared" si="55"/>
        <v>A</v>
      </c>
      <c r="I24" s="364" t="str">
        <f t="shared" si="55"/>
        <v>A</v>
      </c>
      <c r="J24" s="364" t="str">
        <f t="shared" si="55"/>
        <v>A</v>
      </c>
      <c r="K24" s="364" t="str">
        <f t="shared" si="55"/>
        <v>A</v>
      </c>
      <c r="L24" s="364" t="str">
        <f t="shared" si="55"/>
        <v>A</v>
      </c>
      <c r="M24" s="364" t="str">
        <f t="shared" si="55"/>
        <v>A</v>
      </c>
      <c r="N24" s="364" t="str">
        <f t="shared" si="55"/>
        <v>A</v>
      </c>
      <c r="O24" s="364" t="str">
        <f t="shared" si="55"/>
        <v>A</v>
      </c>
      <c r="P24" s="364" t="str">
        <f t="shared" si="55"/>
        <v>A</v>
      </c>
    </row>
    <row r="25" spans="3:16" x14ac:dyDescent="0.25">
      <c r="C25" s="346" t="s">
        <v>386</v>
      </c>
      <c r="D25" s="362">
        <f>IF(D13="A","A",INDEX(Tablas!$B$230:$B$235,MATCH(D24*3600,Tablas!$C$230:$C$235,1)+1,1))</f>
        <v>32</v>
      </c>
      <c r="E25" s="362" t="str">
        <f>IF(E13="A","A",INDEX(Tablas!$B$230:$B$235,MATCH(E24*3600,Tablas!$C$230:$C$235,1)+1,1))</f>
        <v>A</v>
      </c>
      <c r="F25" s="362" t="str">
        <f>IF(F13="A","A",INDEX(Tablas!$B$230:$B$235,MATCH(F24*3600,Tablas!$C$230:$C$235,1)+1,1))</f>
        <v>A</v>
      </c>
      <c r="G25" s="362" t="str">
        <f>IF(G13="A","A",INDEX(Tablas!$B$230:$B$235,MATCH(G24*3600,Tablas!$C$230:$C$235,1)+1,1))</f>
        <v>A</v>
      </c>
      <c r="H25" s="362" t="str">
        <f>IF(H13="A","A",INDEX(Tablas!$B$230:$B$235,MATCH(H24*3600,Tablas!$C$230:$C$235,1)+1,1))</f>
        <v>A</v>
      </c>
      <c r="I25" s="362" t="str">
        <f>IF(I13="A","A",INDEX(Tablas!$B$230:$B$235,MATCH(I24*3600,Tablas!$C$230:$C$235,1)+1,1))</f>
        <v>A</v>
      </c>
      <c r="J25" s="362" t="str">
        <f>IF(J13="A","A",INDEX(Tablas!$B$230:$B$235,MATCH(J24*3600,Tablas!$C$230:$C$235,1)+1,1))</f>
        <v>A</v>
      </c>
      <c r="K25" s="362" t="str">
        <f>IF(K13="A","A",INDEX(Tablas!$B$230:$B$235,MATCH(K24*3600,Tablas!$C$230:$C$235,1)+1,1))</f>
        <v>A</v>
      </c>
      <c r="L25" s="362" t="str">
        <f>IF(L13="A","A",INDEX(Tablas!$B$230:$B$235,MATCH(L24*3600,Tablas!$C$230:$C$235,1)+1,1))</f>
        <v>A</v>
      </c>
      <c r="M25" s="362" t="str">
        <f>IF(M13="A","A",INDEX(Tablas!$B$230:$B$235,MATCH(M24*3600,Tablas!$C$230:$C$235,1)+1,1))</f>
        <v>A</v>
      </c>
      <c r="N25" s="362" t="str">
        <f>IF(N13="A","A",INDEX(Tablas!$B$230:$B$235,MATCH(N24*3600,Tablas!$C$230:$C$235,1)+1,1))</f>
        <v>A</v>
      </c>
      <c r="O25" s="362" t="str">
        <f>IF(O13="A","A",INDEX(Tablas!$B$230:$B$235,MATCH(O24*3600,Tablas!$C$230:$C$235,1)+1,1))</f>
        <v>A</v>
      </c>
      <c r="P25" s="362" t="str">
        <f>IF(P13="A","A",INDEX(Tablas!$B$230:$B$235,MATCH(P24*3600,Tablas!$C$230:$C$235,1)+1,1))</f>
        <v>A</v>
      </c>
    </row>
    <row r="26" spans="3:16" x14ac:dyDescent="0.25">
      <c r="C26" s="346" t="s">
        <v>371</v>
      </c>
      <c r="D26" s="363">
        <f>IF(D13="A","A",INDEX(Tablas!$C$98:$P$111,MATCH(D25,Tablas!$B$98:$B$111,0),MATCH($C$10,Tablas!$C$96:$P$96,0)))</f>
        <v>23.4</v>
      </c>
      <c r="E26" s="363" t="str">
        <f>IF(E13="A","A",INDEX(Tablas!$C$98:$P$111,MATCH(E25,Tablas!$B$98:$B$111,0),MATCH($C$10,Tablas!$C$96:$P$96,0)))</f>
        <v>A</v>
      </c>
      <c r="F26" s="363" t="str">
        <f>IF(F13="A","A",INDEX(Tablas!$C$98:$P$111,MATCH(F25,Tablas!$B$98:$B$111,0),MATCH($C$10,Tablas!$C$96:$P$96,0)))</f>
        <v>A</v>
      </c>
      <c r="G26" s="363" t="str">
        <f>IF(G13="A","A",INDEX(Tablas!$C$98:$P$111,MATCH(G25,Tablas!$B$98:$B$111,0),MATCH($C$10,Tablas!$C$96:$P$96,0)))</f>
        <v>A</v>
      </c>
      <c r="H26" s="363" t="str">
        <f>IF(H13="A","A",INDEX(Tablas!$C$98:$P$111,MATCH(H25,Tablas!$B$98:$B$111,0),MATCH($C$10,Tablas!$C$96:$P$96,0)))</f>
        <v>A</v>
      </c>
      <c r="I26" s="363" t="str">
        <f>IF(I13="A","A",INDEX(Tablas!$C$98:$P$111,MATCH(I25,Tablas!$B$98:$B$111,0),MATCH($C$10,Tablas!$C$96:$P$96,0)))</f>
        <v>A</v>
      </c>
      <c r="J26" s="363" t="str">
        <f>IF(J13="A","A",INDEX(Tablas!$C$98:$P$111,MATCH(J25,Tablas!$B$98:$B$111,0),MATCH($C$10,Tablas!$C$96:$P$96,0)))</f>
        <v>A</v>
      </c>
      <c r="K26" s="363" t="str">
        <f>IF(K13="A","A",INDEX(Tablas!$C$98:$P$111,MATCH(K25,Tablas!$B$98:$B$111,0),MATCH($C$10,Tablas!$C$96:$P$96,0)))</f>
        <v>A</v>
      </c>
      <c r="L26" s="363" t="str">
        <f>IF(L13="A","A",INDEX(Tablas!$C$98:$P$111,MATCH(L25,Tablas!$B$98:$B$111,0),MATCH($C$10,Tablas!$C$96:$P$96,0)))</f>
        <v>A</v>
      </c>
      <c r="M26" s="363" t="str">
        <f>IF(M13="A","A",INDEX(Tablas!$C$98:$P$111,MATCH(M25,Tablas!$B$98:$B$111,0),MATCH($C$10,Tablas!$C$96:$P$96,0)))</f>
        <v>A</v>
      </c>
      <c r="N26" s="363" t="str">
        <f>IF(N13="A","A",INDEX(Tablas!$C$98:$P$111,MATCH(N25,Tablas!$B$98:$B$111,0),MATCH($C$10,Tablas!$C$96:$P$96,0)))</f>
        <v>A</v>
      </c>
      <c r="O26" s="363" t="str">
        <f>IF(O13="A","A",INDEX(Tablas!$C$98:$P$111,MATCH(O25,Tablas!$B$98:$B$111,0),MATCH($C$10,Tablas!$C$96:$P$96,0)))</f>
        <v>A</v>
      </c>
      <c r="P26" s="363" t="str">
        <f>IF(P13="A","A",INDEX(Tablas!$C$98:$P$111,MATCH(P25,Tablas!$B$98:$B$111,0),MATCH($C$10,Tablas!$C$96:$P$96,0)))</f>
        <v>A</v>
      </c>
    </row>
    <row r="27" spans="3:16" x14ac:dyDescent="0.25">
      <c r="C27" s="346" t="s">
        <v>372</v>
      </c>
      <c r="D27" s="350">
        <f>IF(D13="A","A",4000*D24/(PI()*D26*D26))</f>
        <v>0.6026075225229347</v>
      </c>
      <c r="E27" s="350" t="str">
        <f t="shared" ref="E27" si="56">IF(E13="A","A",4000*E24/(PI()*E26*E26))</f>
        <v>A</v>
      </c>
      <c r="F27" s="350" t="str">
        <f t="shared" ref="F27" si="57">IF(F13="A","A",4000*F24/(PI()*F26*F26))</f>
        <v>A</v>
      </c>
      <c r="G27" s="350" t="str">
        <f t="shared" ref="G27" si="58">IF(G13="A","A",4000*G24/(PI()*G26*G26))</f>
        <v>A</v>
      </c>
      <c r="H27" s="350" t="str">
        <f t="shared" ref="H27" si="59">IF(H13="A","A",4000*H24/(PI()*H26*H26))</f>
        <v>A</v>
      </c>
      <c r="I27" s="350" t="str">
        <f t="shared" ref="I27" si="60">IF(I13="A","A",4000*I24/(PI()*I26*I26))</f>
        <v>A</v>
      </c>
      <c r="J27" s="350" t="str">
        <f t="shared" ref="J27" si="61">IF(J13="A","A",4000*J24/(PI()*J26*J26))</f>
        <v>A</v>
      </c>
      <c r="K27" s="350" t="str">
        <f t="shared" ref="K27" si="62">IF(K13="A","A",4000*K24/(PI()*K26*K26))</f>
        <v>A</v>
      </c>
      <c r="L27" s="350" t="str">
        <f t="shared" ref="L27" si="63">IF(L13="A","A",4000*L24/(PI()*L26*L26))</f>
        <v>A</v>
      </c>
      <c r="M27" s="350" t="str">
        <f t="shared" ref="M27" si="64">IF(M13="A","A",4000*M24/(PI()*M26*M26))</f>
        <v>A</v>
      </c>
      <c r="N27" s="350" t="str">
        <f t="shared" ref="N27" si="65">IF(N13="A","A",4000*N24/(PI()*N26*N26))</f>
        <v>A</v>
      </c>
      <c r="O27" s="350" t="str">
        <f t="shared" ref="O27" si="66">IF(O13="A","A",4000*O24/(PI()*O26*O26))</f>
        <v>A</v>
      </c>
      <c r="P27" s="350" t="str">
        <f t="shared" ref="P27" si="67">IF(P13="A","A",4000*P24/(PI()*P26*P26))</f>
        <v>A</v>
      </c>
    </row>
    <row r="28" spans="3:16" x14ac:dyDescent="0.25">
      <c r="C28" s="346" t="s">
        <v>373</v>
      </c>
      <c r="D28" s="350">
        <f>IF(D13="A","A",9810*0.0056*D27^1.75*(D26/1000)^-1.25/100000)</f>
        <v>2.4739884799152932E-2</v>
      </c>
      <c r="E28" s="350" t="str">
        <f t="shared" ref="E28" si="68">IF(E13="A","A",9810*0.0056*E27^1.75*(E26/1000)^-1.25/100000)</f>
        <v>A</v>
      </c>
      <c r="F28" s="350" t="str">
        <f t="shared" ref="F28" si="69">IF(F13="A","A",9810*0.0056*F27^1.75*(F26/1000)^-1.25/100000)</f>
        <v>A</v>
      </c>
      <c r="G28" s="350" t="str">
        <f t="shared" ref="G28" si="70">IF(G13="A","A",9810*0.0056*G27^1.75*(G26/1000)^-1.25/100000)</f>
        <v>A</v>
      </c>
      <c r="H28" s="350" t="str">
        <f t="shared" ref="H28" si="71">IF(H13="A","A",9810*0.0056*H27^1.75*(H26/1000)^-1.25/100000)</f>
        <v>A</v>
      </c>
      <c r="I28" s="350" t="str">
        <f t="shared" ref="I28" si="72">IF(I13="A","A",9810*0.0056*I27^1.75*(I26/1000)^-1.25/100000)</f>
        <v>A</v>
      </c>
      <c r="J28" s="350" t="str">
        <f t="shared" ref="J28" si="73">IF(J13="A","A",9810*0.0056*J27^1.75*(J26/1000)^-1.25/100000)</f>
        <v>A</v>
      </c>
      <c r="K28" s="350" t="str">
        <f t="shared" ref="K28" si="74">IF(K13="A","A",9810*0.0056*K27^1.75*(K26/1000)^-1.25/100000)</f>
        <v>A</v>
      </c>
      <c r="L28" s="350" t="str">
        <f t="shared" ref="L28" si="75">IF(L13="A","A",9810*0.0056*L27^1.75*(L26/1000)^-1.25/100000)</f>
        <v>A</v>
      </c>
      <c r="M28" s="350" t="str">
        <f t="shared" ref="M28" si="76">IF(M13="A","A",9810*0.0056*M27^1.75*(M26/1000)^-1.25/100000)</f>
        <v>A</v>
      </c>
      <c r="N28" s="350" t="str">
        <f t="shared" ref="N28" si="77">IF(N13="A","A",9810*0.0056*N27^1.75*(N26/1000)^-1.25/100000)</f>
        <v>A</v>
      </c>
      <c r="O28" s="350" t="str">
        <f t="shared" ref="O28" si="78">IF(O13="A","A",9810*0.0056*O27^1.75*(O26/1000)^-1.25/100000)</f>
        <v>A</v>
      </c>
      <c r="P28" s="350" t="str">
        <f t="shared" ref="P28" si="79">IF(P13="A","A",9810*0.0056*P27^1.75*(P26/1000)^-1.25/100000)</f>
        <v>A</v>
      </c>
    </row>
    <row r="29" spans="3:16" x14ac:dyDescent="0.25">
      <c r="C29" s="346" t="s">
        <v>374</v>
      </c>
      <c r="D29" s="367">
        <v>50</v>
      </c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</row>
    <row r="30" spans="3:16" x14ac:dyDescent="0.25">
      <c r="C30" s="346" t="s">
        <v>375</v>
      </c>
      <c r="D30" s="348" t="s">
        <v>34</v>
      </c>
      <c r="E30" s="348" t="s">
        <v>34</v>
      </c>
      <c r="F30" s="348" t="s">
        <v>34</v>
      </c>
      <c r="G30" s="348" t="s">
        <v>34</v>
      </c>
      <c r="H30" s="348" t="s">
        <v>34</v>
      </c>
      <c r="I30" s="348" t="s">
        <v>34</v>
      </c>
      <c r="J30" s="348" t="s">
        <v>34</v>
      </c>
      <c r="K30" s="348" t="s">
        <v>34</v>
      </c>
      <c r="L30" s="348" t="s">
        <v>34</v>
      </c>
      <c r="M30" s="348" t="s">
        <v>34</v>
      </c>
      <c r="N30" s="348" t="s">
        <v>34</v>
      </c>
      <c r="O30" s="348" t="s">
        <v>34</v>
      </c>
      <c r="P30" s="348" t="s">
        <v>34</v>
      </c>
    </row>
    <row r="31" spans="3:16" ht="15.75" thickBot="1" x14ac:dyDescent="0.3">
      <c r="C31" s="347" t="s">
        <v>376</v>
      </c>
      <c r="D31" s="370">
        <f>IF(D13="A","A",D29*D28*1.25)</f>
        <v>1.5462427999470583</v>
      </c>
      <c r="E31" s="370" t="str">
        <f t="shared" ref="E31" si="80">IF(E13="A","A",E29*E28*1.25)</f>
        <v>A</v>
      </c>
      <c r="F31" s="370" t="str">
        <f t="shared" ref="F31:P31" si="81">IF(F13="A","A",F29*F28*1.25)</f>
        <v>A</v>
      </c>
      <c r="G31" s="366" t="str">
        <f t="shared" si="81"/>
        <v>A</v>
      </c>
      <c r="H31" s="366" t="str">
        <f t="shared" si="81"/>
        <v>A</v>
      </c>
      <c r="I31" s="366" t="str">
        <f t="shared" si="81"/>
        <v>A</v>
      </c>
      <c r="J31" s="366" t="str">
        <f t="shared" si="81"/>
        <v>A</v>
      </c>
      <c r="K31" s="366" t="str">
        <f t="shared" si="81"/>
        <v>A</v>
      </c>
      <c r="L31" s="366" t="str">
        <f t="shared" si="81"/>
        <v>A</v>
      </c>
      <c r="M31" s="366" t="str">
        <f t="shared" si="81"/>
        <v>A</v>
      </c>
      <c r="N31" s="366" t="str">
        <f t="shared" si="81"/>
        <v>A</v>
      </c>
      <c r="O31" s="366" t="str">
        <f t="shared" si="81"/>
        <v>A</v>
      </c>
      <c r="P31" s="366" t="str">
        <f t="shared" si="81"/>
        <v>A</v>
      </c>
    </row>
    <row r="32" spans="3:16" x14ac:dyDescent="0.25">
      <c r="C32" s="138"/>
      <c r="D32" s="259">
        <f>IF(D13="A",0,IF(D30="SI",D31,0))</f>
        <v>1.5462427999470583</v>
      </c>
      <c r="E32" s="259">
        <f t="shared" ref="E32:P32" si="82">IF(E13="A",0,IF(E30="SI",E31,0))</f>
        <v>0</v>
      </c>
      <c r="F32" s="259">
        <f t="shared" si="82"/>
        <v>0</v>
      </c>
      <c r="G32" s="259">
        <f t="shared" si="82"/>
        <v>0</v>
      </c>
      <c r="H32" s="259">
        <f t="shared" si="82"/>
        <v>0</v>
      </c>
      <c r="I32" s="259">
        <f t="shared" si="82"/>
        <v>0</v>
      </c>
      <c r="J32" s="259">
        <f t="shared" si="82"/>
        <v>0</v>
      </c>
      <c r="K32" s="259">
        <f t="shared" si="82"/>
        <v>0</v>
      </c>
      <c r="L32" s="259">
        <f t="shared" si="82"/>
        <v>0</v>
      </c>
      <c r="M32" s="259">
        <f t="shared" si="82"/>
        <v>0</v>
      </c>
      <c r="N32" s="259">
        <f t="shared" si="82"/>
        <v>0</v>
      </c>
      <c r="O32" s="259">
        <f t="shared" si="82"/>
        <v>0</v>
      </c>
      <c r="P32" s="259">
        <f t="shared" si="82"/>
        <v>0</v>
      </c>
    </row>
    <row r="34" spans="17:17" x14ac:dyDescent="0.25">
      <c r="Q34" s="80" t="s">
        <v>325</v>
      </c>
    </row>
  </sheetData>
  <sheetProtection password="A1C5" sheet="1" objects="1" scenarios="1" selectLockedCells="1"/>
  <mergeCells count="14">
    <mergeCell ref="S4:U4"/>
    <mergeCell ref="S5:U5"/>
    <mergeCell ref="V4:W4"/>
    <mergeCell ref="V5:W5"/>
    <mergeCell ref="C4:D4"/>
    <mergeCell ref="F4:J4"/>
    <mergeCell ref="L4:P4"/>
    <mergeCell ref="F5:I5"/>
    <mergeCell ref="L5:O5"/>
    <mergeCell ref="F7:I7"/>
    <mergeCell ref="L7:O7"/>
    <mergeCell ref="F6:I6"/>
    <mergeCell ref="L6:O6"/>
    <mergeCell ref="X5:AF5"/>
  </mergeCells>
  <conditionalFormatting sqref="D24">
    <cfRule type="cellIs" dxfId="4" priority="7" operator="equal">
      <formula>"A"</formula>
    </cfRule>
  </conditionalFormatting>
  <conditionalFormatting sqref="E13:E21">
    <cfRule type="cellIs" dxfId="3" priority="4" operator="equal">
      <formula>"A"</formula>
    </cfRule>
  </conditionalFormatting>
  <conditionalFormatting sqref="F13:P21">
    <cfRule type="cellIs" dxfId="2" priority="3" operator="equal">
      <formula>"A"</formula>
    </cfRule>
  </conditionalFormatting>
  <conditionalFormatting sqref="E24:E31">
    <cfRule type="cellIs" dxfId="1" priority="2" operator="equal">
      <formula>"A"</formula>
    </cfRule>
  </conditionalFormatting>
  <conditionalFormatting sqref="F24:P31">
    <cfRule type="cellIs" dxfId="0" priority="1" operator="equal">
      <formula>"A"</formula>
    </cfRule>
  </conditionalFormatting>
  <dataValidations count="3">
    <dataValidation type="list" allowBlank="1" showInputMessage="1" showErrorMessage="1" sqref="D20:P20 D30:P30" xr:uid="{00000000-0002-0000-0600-000000000000}">
      <formula1>sn</formula1>
    </dataValidation>
    <dataValidation type="list" allowBlank="1" showInputMessage="1" showErrorMessage="1" sqref="C9" xr:uid="{00000000-0002-0000-0600-000001000000}">
      <formula1>tipos</formula1>
    </dataValidation>
    <dataValidation type="list" allowBlank="1" showInputMessage="1" showErrorMessage="1" sqref="C10" xr:uid="{00000000-0002-0000-0600-000002000000}">
      <formula1>IF(C9="PP (Polipropileno)",pp,IF(C9="PB (polibutileno)",pb,pex))</formula1>
    </dataValidation>
  </dataValidations>
  <hyperlinks>
    <hyperlink ref="X5" r:id="rId1" location="tab=1" xr:uid="{00000000-0004-0000-0600-000000000000}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4">
    <outlinePr summaryBelow="0" summaryRight="0"/>
  </sheetPr>
  <dimension ref="A3:W263"/>
  <sheetViews>
    <sheetView topLeftCell="A190" zoomScaleNormal="100" workbookViewId="0">
      <selection activeCell="G247" sqref="G247"/>
    </sheetView>
  </sheetViews>
  <sheetFormatPr baseColWidth="10" defaultRowHeight="15" outlineLevelRow="1" x14ac:dyDescent="0.25"/>
  <cols>
    <col min="1" max="1" width="5.7109375" customWidth="1"/>
    <col min="2" max="2" width="35.7109375" customWidth="1"/>
    <col min="7" max="7" width="17.42578125" customWidth="1"/>
    <col min="17" max="17" width="5.7109375" customWidth="1"/>
  </cols>
  <sheetData>
    <row r="3" spans="2:9" s="13" customFormat="1" x14ac:dyDescent="0.25">
      <c r="B3" s="13" t="s">
        <v>0</v>
      </c>
      <c r="G3" s="13" t="s">
        <v>283</v>
      </c>
    </row>
    <row r="4" spans="2:9" ht="15.75" outlineLevel="1" thickBot="1" x14ac:dyDescent="0.3"/>
    <row r="5" spans="2:9" ht="30.75" outlineLevel="1" thickBot="1" x14ac:dyDescent="0.3">
      <c r="B5" s="1" t="s">
        <v>1</v>
      </c>
      <c r="C5" s="6" t="s">
        <v>2</v>
      </c>
      <c r="D5" s="5" t="s">
        <v>3</v>
      </c>
      <c r="G5" s="14" t="s">
        <v>284</v>
      </c>
      <c r="H5" s="14" t="s">
        <v>285</v>
      </c>
      <c r="I5" s="14" t="s">
        <v>286</v>
      </c>
    </row>
    <row r="6" spans="2:9" outlineLevel="1" x14ac:dyDescent="0.25">
      <c r="B6" s="2" t="s">
        <v>4</v>
      </c>
      <c r="C6" s="7">
        <v>0.05</v>
      </c>
      <c r="D6" s="8">
        <v>0.03</v>
      </c>
      <c r="F6" t="s">
        <v>34</v>
      </c>
      <c r="G6">
        <v>12</v>
      </c>
      <c r="H6">
        <v>6</v>
      </c>
      <c r="I6">
        <f>IF('Consumos TIPO'!$C$46="Cobre",Tablas!H6,Tablas!G6)</f>
        <v>12</v>
      </c>
    </row>
    <row r="7" spans="2:9" outlineLevel="1" x14ac:dyDescent="0.25">
      <c r="B7" s="3" t="s">
        <v>5</v>
      </c>
      <c r="C7" s="9">
        <v>0.1</v>
      </c>
      <c r="D7" s="10">
        <v>6.5000000000000002E-2</v>
      </c>
      <c r="F7" t="s">
        <v>35</v>
      </c>
      <c r="G7">
        <v>16</v>
      </c>
      <c r="H7">
        <v>8</v>
      </c>
      <c r="I7">
        <f>IF('Consumos TIPO'!$C$46="Cobre",Tablas!H7,Tablas!G7)</f>
        <v>16</v>
      </c>
    </row>
    <row r="8" spans="2:9" outlineLevel="1" x14ac:dyDescent="0.25">
      <c r="B8" s="3" t="s">
        <v>6</v>
      </c>
      <c r="C8" s="9">
        <v>0.2</v>
      </c>
      <c r="D8" s="10">
        <v>0.1</v>
      </c>
      <c r="G8">
        <v>20</v>
      </c>
      <c r="H8">
        <v>10</v>
      </c>
      <c r="I8">
        <f>IF('Consumos TIPO'!$C$46="Cobre",Tablas!H8,Tablas!G8)</f>
        <v>20</v>
      </c>
    </row>
    <row r="9" spans="2:9" outlineLevel="1" x14ac:dyDescent="0.25">
      <c r="B9" s="3" t="s">
        <v>7</v>
      </c>
      <c r="C9" s="9">
        <v>0.3</v>
      </c>
      <c r="D9" s="10">
        <v>0.2</v>
      </c>
      <c r="G9">
        <v>25</v>
      </c>
      <c r="H9">
        <v>12</v>
      </c>
      <c r="I9">
        <f>IF('Consumos TIPO'!$C$46="Cobre",Tablas!H9,Tablas!G9)</f>
        <v>25</v>
      </c>
    </row>
    <row r="10" spans="2:9" outlineLevel="1" x14ac:dyDescent="0.25">
      <c r="B10" s="3" t="s">
        <v>8</v>
      </c>
      <c r="C10" s="9">
        <v>0.2</v>
      </c>
      <c r="D10" s="10">
        <v>0.15</v>
      </c>
      <c r="G10">
        <v>32</v>
      </c>
      <c r="H10">
        <v>15</v>
      </c>
      <c r="I10">
        <f>IF('Consumos TIPO'!$C$46="Cobre",Tablas!H10,Tablas!G10)</f>
        <v>32</v>
      </c>
    </row>
    <row r="11" spans="2:9" outlineLevel="1" x14ac:dyDescent="0.25">
      <c r="B11" s="3" t="s">
        <v>9</v>
      </c>
      <c r="C11" s="9">
        <v>0.1</v>
      </c>
      <c r="D11" s="10">
        <v>6.5000000000000002E-2</v>
      </c>
      <c r="G11">
        <v>40</v>
      </c>
      <c r="H11">
        <v>18</v>
      </c>
      <c r="I11">
        <f>IF('Consumos TIPO'!$C$46="Cobre",Tablas!H11,Tablas!G11)</f>
        <v>40</v>
      </c>
    </row>
    <row r="12" spans="2:9" outlineLevel="1" x14ac:dyDescent="0.25">
      <c r="B12" s="3" t="s">
        <v>10</v>
      </c>
      <c r="C12" s="9">
        <v>0.1</v>
      </c>
      <c r="D12" s="10"/>
      <c r="G12">
        <v>50</v>
      </c>
      <c r="H12">
        <v>22</v>
      </c>
      <c r="I12">
        <f>IF('Consumos TIPO'!$C$46="Cobre",Tablas!H12,Tablas!G12)</f>
        <v>50</v>
      </c>
    </row>
    <row r="13" spans="2:9" outlineLevel="1" x14ac:dyDescent="0.25">
      <c r="B13" s="3" t="s">
        <v>11</v>
      </c>
      <c r="C13" s="9">
        <v>1.25</v>
      </c>
      <c r="D13" s="10"/>
      <c r="G13">
        <v>63</v>
      </c>
      <c r="H13">
        <v>28</v>
      </c>
      <c r="I13">
        <f>IF('Consumos TIPO'!$C$46="Cobre",Tablas!H13,Tablas!G13)</f>
        <v>63</v>
      </c>
    </row>
    <row r="14" spans="2:9" outlineLevel="1" x14ac:dyDescent="0.25">
      <c r="B14" s="3" t="s">
        <v>12</v>
      </c>
      <c r="C14" s="9">
        <v>0.15</v>
      </c>
      <c r="D14" s="10"/>
      <c r="G14">
        <v>75</v>
      </c>
      <c r="H14">
        <v>35</v>
      </c>
      <c r="I14">
        <f>IF('Consumos TIPO'!$C$46="Cobre",Tablas!H14,Tablas!G14)</f>
        <v>75</v>
      </c>
    </row>
    <row r="15" spans="2:9" ht="15.75" outlineLevel="1" thickBot="1" x14ac:dyDescent="0.3">
      <c r="B15" s="4" t="s">
        <v>13</v>
      </c>
      <c r="C15" s="11">
        <v>0.04</v>
      </c>
      <c r="D15" s="12"/>
      <c r="G15">
        <v>90</v>
      </c>
      <c r="H15">
        <v>42</v>
      </c>
      <c r="I15">
        <f>IF('Consumos TIPO'!$C$46="Cobre",Tablas!H15,Tablas!G15)</f>
        <v>90</v>
      </c>
    </row>
    <row r="16" spans="2:9" outlineLevel="1" x14ac:dyDescent="0.25">
      <c r="B16" s="2" t="s">
        <v>22</v>
      </c>
      <c r="C16" s="7">
        <v>0.2</v>
      </c>
      <c r="D16" s="8">
        <v>0.1</v>
      </c>
      <c r="G16">
        <v>110</v>
      </c>
      <c r="H16" s="137" t="s">
        <v>166</v>
      </c>
      <c r="I16" s="14">
        <f>IF('Consumos TIPO'!$C$46="Cobre",Tablas!H16,Tablas!G16)</f>
        <v>110</v>
      </c>
    </row>
    <row r="17" spans="2:21" outlineLevel="1" x14ac:dyDescent="0.25">
      <c r="B17" s="3" t="s">
        <v>14</v>
      </c>
      <c r="C17" s="9">
        <v>0.3</v>
      </c>
      <c r="D17" s="10">
        <v>0.2</v>
      </c>
      <c r="G17">
        <v>125</v>
      </c>
      <c r="H17" s="137" t="s">
        <v>166</v>
      </c>
      <c r="I17" s="14">
        <f>IF('Consumos TIPO'!$C$46="Cobre",Tablas!H17,Tablas!G17)</f>
        <v>125</v>
      </c>
    </row>
    <row r="18" spans="2:21" outlineLevel="1" x14ac:dyDescent="0.25">
      <c r="B18" s="3" t="s">
        <v>23</v>
      </c>
      <c r="C18" s="9">
        <v>0.15</v>
      </c>
      <c r="D18" s="10">
        <v>0.1</v>
      </c>
      <c r="G18">
        <v>140</v>
      </c>
      <c r="H18" s="137" t="s">
        <v>166</v>
      </c>
      <c r="I18" s="14">
        <f>IF('Consumos TIPO'!$C$46="Cobre",Tablas!H18,Tablas!G18)</f>
        <v>140</v>
      </c>
    </row>
    <row r="19" spans="2:21" outlineLevel="1" x14ac:dyDescent="0.25">
      <c r="B19" s="3" t="s">
        <v>15</v>
      </c>
      <c r="C19" s="9">
        <v>0.25</v>
      </c>
      <c r="D19" s="10">
        <v>0.2</v>
      </c>
      <c r="G19">
        <v>160</v>
      </c>
      <c r="H19" s="137" t="s">
        <v>166</v>
      </c>
      <c r="I19" s="14">
        <f>IF('Consumos TIPO'!$C$46="Cobre",Tablas!H19,Tablas!G19)</f>
        <v>160</v>
      </c>
    </row>
    <row r="20" spans="2:21" outlineLevel="1" x14ac:dyDescent="0.25">
      <c r="B20" s="3" t="s">
        <v>16</v>
      </c>
      <c r="C20" s="9">
        <v>0.2</v>
      </c>
      <c r="D20" s="10">
        <v>0.1</v>
      </c>
    </row>
    <row r="21" spans="2:21" outlineLevel="1" x14ac:dyDescent="0.25">
      <c r="B21" s="3" t="s">
        <v>17</v>
      </c>
      <c r="C21" s="9">
        <v>0.2</v>
      </c>
      <c r="D21" s="10">
        <v>0.15</v>
      </c>
    </row>
    <row r="22" spans="2:21" ht="15.75" outlineLevel="1" thickBot="1" x14ac:dyDescent="0.3">
      <c r="B22" s="4" t="s">
        <v>18</v>
      </c>
      <c r="C22" s="11">
        <v>0.6</v>
      </c>
      <c r="D22" s="12">
        <v>0.4</v>
      </c>
    </row>
    <row r="23" spans="2:21" outlineLevel="1" x14ac:dyDescent="0.25">
      <c r="B23" s="2" t="s">
        <v>31</v>
      </c>
      <c r="C23" s="7">
        <v>0.15</v>
      </c>
      <c r="D23" s="8"/>
    </row>
    <row r="24" spans="2:21" outlineLevel="1" x14ac:dyDescent="0.25">
      <c r="B24" s="18" t="s">
        <v>30</v>
      </c>
      <c r="C24" s="19">
        <v>0.15</v>
      </c>
      <c r="D24" s="20">
        <v>0.1</v>
      </c>
    </row>
    <row r="25" spans="2:21" outlineLevel="1" x14ac:dyDescent="0.25">
      <c r="B25" s="3" t="s">
        <v>19</v>
      </c>
      <c r="C25" s="9">
        <v>0.2</v>
      </c>
      <c r="D25" s="10"/>
    </row>
    <row r="26" spans="2:21" ht="15.75" outlineLevel="1" thickBot="1" x14ac:dyDescent="0.3">
      <c r="B26" s="4" t="s">
        <v>20</v>
      </c>
      <c r="C26" s="11">
        <v>0.2</v>
      </c>
      <c r="D26" s="12"/>
    </row>
    <row r="28" spans="2:21" s="13" customFormat="1" x14ac:dyDescent="0.25">
      <c r="B28" s="13" t="s">
        <v>27</v>
      </c>
    </row>
    <row r="29" spans="2:21" outlineLevel="1" x14ac:dyDescent="0.25">
      <c r="C29" s="32" t="s">
        <v>79</v>
      </c>
      <c r="D29" s="32"/>
      <c r="H29" s="502" t="s">
        <v>82</v>
      </c>
      <c r="I29" s="502"/>
      <c r="K29" s="502" t="s">
        <v>83</v>
      </c>
      <c r="L29" s="502"/>
      <c r="N29" s="502" t="s">
        <v>84</v>
      </c>
      <c r="O29" s="502"/>
      <c r="Q29" s="502" t="s">
        <v>85</v>
      </c>
      <c r="R29" s="502"/>
      <c r="T29" s="502" t="s">
        <v>86</v>
      </c>
      <c r="U29" s="502"/>
    </row>
    <row r="30" spans="2:21" outlineLevel="1" x14ac:dyDescent="0.25">
      <c r="B30" t="s">
        <v>28</v>
      </c>
      <c r="C30" s="15">
        <f>C44</f>
        <v>0.51366164296555816</v>
      </c>
      <c r="D30" t="s">
        <v>77</v>
      </c>
      <c r="G30" s="25" t="s">
        <v>37</v>
      </c>
      <c r="H30" s="26" t="s">
        <v>79</v>
      </c>
      <c r="I30" s="26" t="s">
        <v>80</v>
      </c>
      <c r="K30" s="26" t="s">
        <v>79</v>
      </c>
      <c r="L30" s="26" t="s">
        <v>80</v>
      </c>
      <c r="N30" s="26" t="s">
        <v>79</v>
      </c>
      <c r="O30" s="26" t="s">
        <v>80</v>
      </c>
      <c r="Q30" s="26" t="s">
        <v>79</v>
      </c>
      <c r="R30" s="26" t="s">
        <v>80</v>
      </c>
      <c r="T30" s="26" t="s">
        <v>79</v>
      </c>
      <c r="U30" s="26" t="s">
        <v>80</v>
      </c>
    </row>
    <row r="31" spans="2:21" outlineLevel="1" x14ac:dyDescent="0.25">
      <c r="B31" t="s">
        <v>29</v>
      </c>
      <c r="C31">
        <v>1.1599999999999999</v>
      </c>
      <c r="D31" t="s">
        <v>78</v>
      </c>
      <c r="E31" s="16" t="s">
        <v>32</v>
      </c>
      <c r="F31" s="17"/>
      <c r="G31" s="30" t="s">
        <v>38</v>
      </c>
      <c r="H31" s="26">
        <v>0.5</v>
      </c>
      <c r="I31" s="26">
        <v>0.5</v>
      </c>
      <c r="K31" s="26">
        <v>0.5</v>
      </c>
      <c r="L31" s="26">
        <v>0.5</v>
      </c>
      <c r="N31" s="26">
        <v>0.5</v>
      </c>
      <c r="O31" s="26">
        <v>0.5</v>
      </c>
      <c r="Q31" s="26">
        <v>0.5</v>
      </c>
      <c r="R31" s="26">
        <v>0.5</v>
      </c>
      <c r="T31" s="26">
        <v>0.5</v>
      </c>
      <c r="U31" s="26">
        <v>0.5</v>
      </c>
    </row>
    <row r="32" spans="2:21" outlineLevel="1" x14ac:dyDescent="0.25">
      <c r="E32" s="17"/>
      <c r="G32" s="30" t="s">
        <v>39</v>
      </c>
      <c r="H32" s="26">
        <v>0.7</v>
      </c>
      <c r="I32" s="26">
        <v>0.7</v>
      </c>
      <c r="K32" s="26">
        <v>0.7</v>
      </c>
      <c r="L32" s="26">
        <v>0.7</v>
      </c>
      <c r="N32" s="26">
        <v>0.7</v>
      </c>
      <c r="O32" s="26">
        <v>0.7</v>
      </c>
      <c r="Q32" s="26">
        <v>0.7</v>
      </c>
      <c r="R32" s="26">
        <v>0.7</v>
      </c>
      <c r="T32" s="26">
        <v>0.7</v>
      </c>
      <c r="U32" s="26">
        <v>0.7</v>
      </c>
    </row>
    <row r="33" spans="2:21" outlineLevel="1" x14ac:dyDescent="0.25">
      <c r="B33" s="78" t="s">
        <v>36</v>
      </c>
      <c r="G33" s="30" t="s">
        <v>40</v>
      </c>
      <c r="H33" s="26">
        <v>0.9</v>
      </c>
      <c r="I33" s="26">
        <v>0.9</v>
      </c>
      <c r="K33" s="26">
        <v>0.9</v>
      </c>
      <c r="L33" s="26">
        <v>0.9</v>
      </c>
      <c r="N33" s="26">
        <v>0.9</v>
      </c>
      <c r="O33" s="26">
        <v>0.9</v>
      </c>
      <c r="Q33" s="26">
        <v>0.9</v>
      </c>
      <c r="R33" s="26">
        <v>0.9</v>
      </c>
      <c r="T33" s="26">
        <v>0.9</v>
      </c>
      <c r="U33" s="26">
        <v>0.9</v>
      </c>
    </row>
    <row r="34" spans="2:21" outlineLevel="1" x14ac:dyDescent="0.25">
      <c r="B34" s="78" t="s">
        <v>41</v>
      </c>
      <c r="G34" s="30" t="s">
        <v>36</v>
      </c>
      <c r="H34" s="31">
        <f>MAX(1/(SUM('Consumos TIPO'!C21:C31)-1)^0.5,0.2)</f>
        <v>0.31622776601683794</v>
      </c>
      <c r="I34" s="31">
        <f>MAX(1/(SUM('Consumos TIPO'!C21:C31)-1)^0.5,0.2)</f>
        <v>0.31622776601683794</v>
      </c>
      <c r="K34" s="31">
        <f>MAX(1/(SUM('Consumos TIPO'!I21:I31)-1)^0.5,0.2)</f>
        <v>0.30151134457776363</v>
      </c>
      <c r="L34" s="31">
        <f>MAX(1/(SUM('Consumos TIPO'!I21:I31)-1)^0.5,0.2)</f>
        <v>0.30151134457776363</v>
      </c>
      <c r="N34" s="31">
        <f>MAX(1/(SUM('Consumos TIPO'!N21:N31)-1)^0.5,0.2)</f>
        <v>0.28867513459481292</v>
      </c>
      <c r="O34" s="31">
        <f>MAX(1/(SUM('Consumos TIPO'!N21:N31)-1)^0.5,0.2)</f>
        <v>0.28867513459481292</v>
      </c>
      <c r="Q34" s="31">
        <f>MAX(1/(SUM('Consumos TIPO'!S21:S31)-1)^0.5,0.2)</f>
        <v>0.2672612419124244</v>
      </c>
      <c r="R34" s="31">
        <f>MAX(1/(SUM('Consumos TIPO'!S21:S31)-1)^0.5,0.2)</f>
        <v>0.2672612419124244</v>
      </c>
      <c r="T34" s="31">
        <f>MAX(1/(SUM('Consumos TIPO'!X21:X31)-1)^0.5,0.2)</f>
        <v>0.40824829046386307</v>
      </c>
      <c r="U34" s="31">
        <f>MAX(1/(SUM('Consumos TIPO'!X21:X31)-1)^0.5,0.2)</f>
        <v>0.40824829046386307</v>
      </c>
    </row>
    <row r="35" spans="2:21" outlineLevel="1" x14ac:dyDescent="0.25">
      <c r="G35" s="30" t="s">
        <v>41</v>
      </c>
      <c r="H35" s="31">
        <f>C44/C48</f>
        <v>0.56446334391819575</v>
      </c>
      <c r="I35" s="31">
        <f>D44/D48</f>
        <v>0.43295885873336687</v>
      </c>
      <c r="K35" s="31">
        <f>F44/F48</f>
        <v>0.5396639639399502</v>
      </c>
      <c r="L35" s="31">
        <f>G44/G48</f>
        <v>0.41055227893526675</v>
      </c>
      <c r="N35" s="31">
        <f>I44/I48</f>
        <v>0.54797339402388134</v>
      </c>
      <c r="O35" s="31">
        <f>J44/J48</f>
        <v>0.41055227893526675</v>
      </c>
      <c r="Q35" s="31">
        <f>L44/L48</f>
        <v>0.51177345888820736</v>
      </c>
      <c r="R35" s="31">
        <f>M44/M48</f>
        <v>0.38253849630081477</v>
      </c>
      <c r="T35" s="31">
        <f>O44/O48</f>
        <v>0.6372669254693224</v>
      </c>
      <c r="U35" s="31">
        <f>P44/P48</f>
        <v>0.50980043285644472</v>
      </c>
    </row>
    <row r="36" spans="2:21" outlineLevel="1" x14ac:dyDescent="0.25"/>
    <row r="37" spans="2:21" outlineLevel="1" x14ac:dyDescent="0.25">
      <c r="F37" t="s">
        <v>81</v>
      </c>
      <c r="G37" t="str">
        <f>'Consumos TIPO'!D10</f>
        <v>UNE 149.201/07</v>
      </c>
      <c r="H37" s="31">
        <f>VLOOKUP($G$37,$G$31:$U$35,2,FALSE)</f>
        <v>0.56446334391819575</v>
      </c>
      <c r="I37" s="31">
        <f>VLOOKUP($G$37,$G$31:$U$35,3,FALSE)</f>
        <v>0.43295885873336687</v>
      </c>
      <c r="K37" s="31">
        <f>VLOOKUP($G$37,$G$31:$U$35,5,FALSE)</f>
        <v>0.5396639639399502</v>
      </c>
      <c r="L37" s="31">
        <f>VLOOKUP($G$37,$G$31:$U$35,6,FALSE)</f>
        <v>0.41055227893526675</v>
      </c>
      <c r="N37" s="31">
        <f>VLOOKUP($G$37,$G$31:$U$35,8,FALSE)</f>
        <v>0.54797339402388134</v>
      </c>
      <c r="O37" s="31">
        <f>VLOOKUP($G$37,$G$31:$U$35,9,FALSE)</f>
        <v>0.41055227893526675</v>
      </c>
      <c r="Q37" s="31">
        <f>VLOOKUP($G$37,$G$31:$U$35,11,FALSE)</f>
        <v>0.51177345888820736</v>
      </c>
      <c r="R37" s="31">
        <f>VLOOKUP($G$37,$G$31:$U$35,12,FALSE)</f>
        <v>0.38253849630081477</v>
      </c>
      <c r="T37" s="31">
        <f>VLOOKUP($G$37,$G$31:$U$35,14,FALSE)</f>
        <v>0.6372669254693224</v>
      </c>
      <c r="U37" s="31">
        <f>VLOOKUP($G$37,$G$31:$U$35,15,FALSE)</f>
        <v>0.50980043285644472</v>
      </c>
    </row>
    <row r="38" spans="2:21" outlineLevel="1" x14ac:dyDescent="0.25">
      <c r="B38" s="16" t="s">
        <v>33</v>
      </c>
    </row>
    <row r="40" spans="2:21" s="13" customFormat="1" x14ac:dyDescent="0.25">
      <c r="B40" s="13" t="s">
        <v>42</v>
      </c>
    </row>
    <row r="41" spans="2:21" outlineLevel="1" x14ac:dyDescent="0.25">
      <c r="C41" s="32"/>
      <c r="D41" s="32"/>
    </row>
    <row r="42" spans="2:21" outlineLevel="1" x14ac:dyDescent="0.25">
      <c r="C42" s="502" t="s">
        <v>82</v>
      </c>
      <c r="D42" s="502"/>
      <c r="F42" s="502" t="s">
        <v>83</v>
      </c>
      <c r="G42" s="502"/>
      <c r="I42" s="502" t="s">
        <v>84</v>
      </c>
      <c r="J42" s="502"/>
      <c r="L42" s="502" t="s">
        <v>85</v>
      </c>
      <c r="M42" s="502"/>
      <c r="O42" s="502" t="s">
        <v>86</v>
      </c>
      <c r="P42" s="502"/>
    </row>
    <row r="43" spans="2:21" outlineLevel="1" x14ac:dyDescent="0.25">
      <c r="C43" s="32" t="s">
        <v>79</v>
      </c>
      <c r="D43" s="32" t="s">
        <v>80</v>
      </c>
      <c r="F43" s="32" t="s">
        <v>79</v>
      </c>
      <c r="G43" s="32" t="s">
        <v>80</v>
      </c>
      <c r="I43" s="32" t="s">
        <v>79</v>
      </c>
      <c r="J43" s="32" t="s">
        <v>80</v>
      </c>
      <c r="L43" s="32" t="s">
        <v>79</v>
      </c>
      <c r="M43" s="32" t="s">
        <v>80</v>
      </c>
      <c r="O43" s="32" t="s">
        <v>79</v>
      </c>
      <c r="P43" s="32" t="s">
        <v>80</v>
      </c>
    </row>
    <row r="44" spans="2:21" outlineLevel="1" x14ac:dyDescent="0.25">
      <c r="B44" s="23" t="s">
        <v>55</v>
      </c>
      <c r="C44" s="24">
        <f>POWER(C48,C55)*C54+C56</f>
        <v>0.51366164296555816</v>
      </c>
      <c r="D44" s="34">
        <f>POWER(D48,D55)*D54+D56</f>
        <v>0.71438211691005526</v>
      </c>
      <c r="F44" s="24">
        <f>POWER(F48,F55)*F54+F56</f>
        <v>0.54506060357934971</v>
      </c>
      <c r="G44" s="34">
        <f>POWER(G48,G55)*G54+G56</f>
        <v>0.75952171603024343</v>
      </c>
      <c r="I44" s="24">
        <f>POWER(I48,I55)*I54+I56</f>
        <v>0.5342740591732843</v>
      </c>
      <c r="J44" s="34">
        <f>POWER(J48,J55)*J54+J56</f>
        <v>0.75952171603024343</v>
      </c>
      <c r="L44" s="24">
        <f>POWER(L48,L55)*L54+L56</f>
        <v>0.58342174313255635</v>
      </c>
      <c r="M44" s="34">
        <f>POWER(M48,M55)*M54+M56</f>
        <v>0.82245776704675178</v>
      </c>
      <c r="O44" s="24">
        <f>POWER(O48,O55)*O54+O56</f>
        <v>0.43334150931913928</v>
      </c>
      <c r="P44" s="34">
        <f>POWER(P48,P55)*P54+P56</f>
        <v>0.58627049778491147</v>
      </c>
    </row>
    <row r="45" spans="2:21" outlineLevel="1" x14ac:dyDescent="0.25">
      <c r="C45" s="15"/>
      <c r="F45" s="15"/>
      <c r="I45" s="15"/>
      <c r="L45" s="15"/>
      <c r="O45" s="15"/>
    </row>
    <row r="46" spans="2:21" outlineLevel="1" x14ac:dyDescent="0.25">
      <c r="B46" t="s">
        <v>56</v>
      </c>
      <c r="C46" s="14" t="str">
        <f>'Consumos TIPO'!D7</f>
        <v>Viviendas</v>
      </c>
      <c r="D46" s="14" t="str">
        <f>$C$46</f>
        <v>Viviendas</v>
      </c>
      <c r="F46" s="14" t="str">
        <f>$C$46</f>
        <v>Viviendas</v>
      </c>
      <c r="G46" s="14" t="str">
        <f>$C$46</f>
        <v>Viviendas</v>
      </c>
      <c r="I46" s="14" t="str">
        <f>$C$46</f>
        <v>Viviendas</v>
      </c>
      <c r="J46" s="14" t="str">
        <f>$C$46</f>
        <v>Viviendas</v>
      </c>
      <c r="L46" s="14" t="str">
        <f>$C$46</f>
        <v>Viviendas</v>
      </c>
      <c r="M46" s="14" t="str">
        <f>$C$46</f>
        <v>Viviendas</v>
      </c>
      <c r="O46" s="14" t="str">
        <f>$C$46</f>
        <v>Viviendas</v>
      </c>
      <c r="P46" s="14" t="str">
        <f>$C$46</f>
        <v>Viviendas</v>
      </c>
    </row>
    <row r="47" spans="2:21" outlineLevel="1" x14ac:dyDescent="0.25">
      <c r="B47" t="s">
        <v>57</v>
      </c>
      <c r="C47" s="15">
        <f>MAX('Consumos TIPO'!F21:F31)</f>
        <v>0.2</v>
      </c>
      <c r="D47" s="15">
        <f>MAX('Consumos TIPO'!E21:E31)</f>
        <v>0.3</v>
      </c>
      <c r="F47" s="15">
        <f>MAX('Consumos TIPO'!L21:L32)</f>
        <v>0.2</v>
      </c>
      <c r="G47" s="15">
        <f>MAX('Consumos TIPO'!K21:K31)</f>
        <v>0.4</v>
      </c>
      <c r="I47" s="15">
        <f>MAX('Consumos TIPO'!Q21:Q31)</f>
        <v>0.2</v>
      </c>
      <c r="J47" s="15">
        <f>MAX('Consumos TIPO'!P21:P31)</f>
        <v>0.30000000000000004</v>
      </c>
      <c r="L47" s="15">
        <f>MAX('Consumos TIPO'!V21:V31)</f>
        <v>0.2</v>
      </c>
      <c r="M47" s="15">
        <f>MAX('Consumos TIPO'!U21:U31)</f>
        <v>0.4</v>
      </c>
      <c r="O47" s="15">
        <f>MAX('Consumos TIPO'!AA21:AA31)</f>
        <v>0.2</v>
      </c>
      <c r="P47" s="15">
        <f>MAX('Consumos TIPO'!Z21:Z31)</f>
        <v>0.3</v>
      </c>
    </row>
    <row r="48" spans="2:21" outlineLevel="1" x14ac:dyDescent="0.25">
      <c r="B48" t="s">
        <v>58</v>
      </c>
      <c r="C48" s="15">
        <f>'Consumos TIPO'!F36+'Consumos TIPO'!F37</f>
        <v>0.91</v>
      </c>
      <c r="D48" s="15">
        <f>'Consumos TIPO'!E36+'Consumos TIPO'!E37</f>
        <v>1.65</v>
      </c>
      <c r="F48" s="15">
        <f>'Consumos TIPO'!L33</f>
        <v>1.01</v>
      </c>
      <c r="G48" s="15">
        <f>'Consumos TIPO'!K33</f>
        <v>1.8499999999999999</v>
      </c>
      <c r="I48" s="15">
        <f>'Consumos TIPO'!Q33</f>
        <v>0.97499999999999998</v>
      </c>
      <c r="J48" s="15">
        <f>'Consumos TIPO'!P33</f>
        <v>1.8499999999999999</v>
      </c>
      <c r="L48" s="15">
        <f>'Consumos TIPO'!V33</f>
        <v>1.1399999999999999</v>
      </c>
      <c r="M48" s="15">
        <f>'Consumos TIPO'!U33</f>
        <v>2.15</v>
      </c>
      <c r="O48" s="15">
        <f>'Consumos TIPO'!AA33</f>
        <v>0.68</v>
      </c>
      <c r="P48" s="15">
        <f>'Consumos TIPO'!Z33</f>
        <v>1.1500000000000001</v>
      </c>
    </row>
    <row r="49" spans="1:16" outlineLevel="1" x14ac:dyDescent="0.25">
      <c r="B49" t="s">
        <v>70</v>
      </c>
      <c r="C49" s="22">
        <f>VLOOKUP($C$46,$I$60:$K$65,3,FALSE)</f>
        <v>1</v>
      </c>
      <c r="D49" s="22">
        <f>VLOOKUP($D$46,$I$60:$K$65,3,FALSE)</f>
        <v>1</v>
      </c>
      <c r="F49" s="22">
        <f>VLOOKUP($C$46,$I$60:$K$65,3,FALSE)</f>
        <v>1</v>
      </c>
      <c r="G49" s="22">
        <f>VLOOKUP($D$46,$I$60:$K$65,3,FALSE)</f>
        <v>1</v>
      </c>
      <c r="I49" s="22">
        <f>VLOOKUP($C$46,$I$60:$K$65,3,FALSE)</f>
        <v>1</v>
      </c>
      <c r="J49" s="22">
        <f>VLOOKUP($D$46,$I$60:$K$65,3,FALSE)</f>
        <v>1</v>
      </c>
      <c r="L49" s="22">
        <f>VLOOKUP($C$46,$I$60:$K$65,3,FALSE)</f>
        <v>1</v>
      </c>
      <c r="M49" s="22">
        <f>VLOOKUP($D$46,$I$60:$K$65,3,FALSE)</f>
        <v>1</v>
      </c>
      <c r="O49" s="22">
        <f>VLOOKUP($C$46,$I$60:$K$65,3,FALSE)</f>
        <v>1</v>
      </c>
      <c r="P49" s="22">
        <f>VLOOKUP($D$46,$I$60:$K$65,3,FALSE)</f>
        <v>1</v>
      </c>
    </row>
    <row r="50" spans="1:16" outlineLevel="1" x14ac:dyDescent="0.25">
      <c r="B50" t="s">
        <v>71</v>
      </c>
      <c r="C50" s="22">
        <f>IF(C48&gt;20,3,IF(C47&lt;0.5,0,IF(C48&lt;=1,1,2)))</f>
        <v>0</v>
      </c>
      <c r="D50" s="22">
        <f>IF(D48&gt;20,3,IF(D47&lt;0.5,0,IF(D48&lt;=1,1,2)))</f>
        <v>0</v>
      </c>
      <c r="F50" s="22">
        <f>IF(F48&gt;20,3,IF(F47&lt;0.5,0,IF(F48&lt;=1,1,2)))</f>
        <v>0</v>
      </c>
      <c r="G50" s="22">
        <f>IF(G48&gt;20,3,IF(G47&lt;0.5,0,IF(G48&lt;=1,1,2)))</f>
        <v>0</v>
      </c>
      <c r="I50" s="22">
        <f>IF(I48&gt;20,3,IF(I47&lt;0.5,0,IF(I48&lt;=1,1,2)))</f>
        <v>0</v>
      </c>
      <c r="J50" s="22">
        <f>IF(J48&gt;20,3,IF(J47&lt;0.5,0,IF(J48&lt;=1,1,2)))</f>
        <v>0</v>
      </c>
      <c r="L50" s="22">
        <f>IF(L48&gt;20,3,IF(L47&lt;0.5,0,IF(L48&lt;=1,1,2)))</f>
        <v>0</v>
      </c>
      <c r="M50" s="22">
        <f>IF(M48&gt;20,3,IF(M47&lt;0.5,0,IF(M48&lt;=1,1,2)))</f>
        <v>0</v>
      </c>
      <c r="O50" s="22">
        <f>IF(O48&gt;20,3,IF(O47&lt;0.5,0,IF(O48&lt;=1,1,2)))</f>
        <v>0</v>
      </c>
      <c r="P50" s="22">
        <f>IF(P48&gt;20,3,IF(P47&lt;0.5,0,IF(P48&lt;=1,1,2)))</f>
        <v>0</v>
      </c>
    </row>
    <row r="51" spans="1:16" outlineLevel="1" x14ac:dyDescent="0.25">
      <c r="B51" t="s">
        <v>73</v>
      </c>
      <c r="C51" s="22">
        <f>C49+C50</f>
        <v>1</v>
      </c>
      <c r="D51" s="22">
        <f>D49+D50</f>
        <v>1</v>
      </c>
      <c r="F51" s="22">
        <f>F49+F50</f>
        <v>1</v>
      </c>
      <c r="G51" s="22">
        <f>G49+G50</f>
        <v>1</v>
      </c>
      <c r="I51" s="22">
        <f>I49+I50</f>
        <v>1</v>
      </c>
      <c r="J51" s="22">
        <f>J49+J50</f>
        <v>1</v>
      </c>
      <c r="L51" s="22">
        <f>L49+L50</f>
        <v>1</v>
      </c>
      <c r="M51" s="22">
        <f>M49+M50</f>
        <v>1</v>
      </c>
      <c r="O51" s="22">
        <f>O49+O50</f>
        <v>1</v>
      </c>
      <c r="P51" s="22">
        <f>P49+P50</f>
        <v>1</v>
      </c>
    </row>
    <row r="52" spans="1:16" outlineLevel="1" x14ac:dyDescent="0.25">
      <c r="B52" t="s">
        <v>74</v>
      </c>
      <c r="C52" s="22">
        <f>1+IF(C48&lt;=1.5,0,IF(C48&lt;=20,1,2))</f>
        <v>1</v>
      </c>
      <c r="D52" s="22">
        <f>1+IF(D48&lt;=1.5,0,IF(D48&lt;=20,1,2))</f>
        <v>2</v>
      </c>
      <c r="F52" s="22">
        <f>1+IF(F48&lt;=1.5,0,IF(F48&lt;=20,1,2))</f>
        <v>1</v>
      </c>
      <c r="G52" s="22">
        <f>1+IF(G48&lt;=1.5,0,IF(G48&lt;=20,1,2))</f>
        <v>2</v>
      </c>
      <c r="I52" s="22">
        <f>1+IF(I48&lt;=1.5,0,IF(I48&lt;=20,1,2))</f>
        <v>1</v>
      </c>
      <c r="J52" s="22">
        <f>1+IF(J48&lt;=1.5,0,IF(J48&lt;=20,1,2))</f>
        <v>2</v>
      </c>
      <c r="L52" s="22">
        <f>1+IF(L48&lt;=1.5,0,IF(L48&lt;=20,1,2))</f>
        <v>1</v>
      </c>
      <c r="M52" s="22">
        <f>1+IF(M48&lt;=1.5,0,IF(M48&lt;=20,1,2))</f>
        <v>2</v>
      </c>
      <c r="O52" s="22">
        <f>1+IF(O48&lt;=1.5,0,IF(O48&lt;=20,1,2))</f>
        <v>1</v>
      </c>
      <c r="P52" s="22">
        <f>1+IF(P48&lt;=1.5,0,IF(P48&lt;=20,1,2))</f>
        <v>1</v>
      </c>
    </row>
    <row r="53" spans="1:16" outlineLevel="1" x14ac:dyDescent="0.25">
      <c r="B53" t="s">
        <v>75</v>
      </c>
      <c r="C53" s="22">
        <f>IF(C46=$I$65,C52,C51)</f>
        <v>1</v>
      </c>
      <c r="D53" s="22">
        <f>IF(D46=$I$65,D52,D51)</f>
        <v>1</v>
      </c>
      <c r="F53" s="22">
        <f>IF(F46=$I$65,F52,F51)</f>
        <v>1</v>
      </c>
      <c r="G53" s="22">
        <f>IF(G46=$I$65,G52,G51)</f>
        <v>1</v>
      </c>
      <c r="I53" s="22">
        <f>IF(I46=$I$65,I52,I51)</f>
        <v>1</v>
      </c>
      <c r="J53" s="22">
        <f>IF(J46=$I$65,J52,J51)</f>
        <v>1</v>
      </c>
      <c r="L53" s="22">
        <f>IF(L46=$I$65,L52,L51)</f>
        <v>1</v>
      </c>
      <c r="M53" s="22">
        <f>IF(M46=$I$65,M52,M51)</f>
        <v>1</v>
      </c>
      <c r="O53" s="22">
        <f>IF(O46=$I$65,O52,O51)</f>
        <v>1</v>
      </c>
      <c r="P53" s="22">
        <f>IF(P46=$I$65,P52,P51)</f>
        <v>1</v>
      </c>
    </row>
    <row r="54" spans="1:16" outlineLevel="1" x14ac:dyDescent="0.25">
      <c r="B54" t="s">
        <v>61</v>
      </c>
      <c r="C54" s="15">
        <f>INDEX($E$59:$G$81,$C$53,1)</f>
        <v>0.68200000000000005</v>
      </c>
      <c r="D54" s="15">
        <f>INDEX($E$59:$G$81,$D$53,1)</f>
        <v>0.68200000000000005</v>
      </c>
      <c r="F54" s="15">
        <f>INDEX($E$59:$G$81,$C$53,1)</f>
        <v>0.68200000000000005</v>
      </c>
      <c r="G54" s="15">
        <f>INDEX($E$59:$G$81,$D$53,1)</f>
        <v>0.68200000000000005</v>
      </c>
      <c r="I54" s="15">
        <f>INDEX($E$59:$G$81,$C$53,1)</f>
        <v>0.68200000000000005</v>
      </c>
      <c r="J54" s="15">
        <f>INDEX($E$59:$G$81,$D$53,1)</f>
        <v>0.68200000000000005</v>
      </c>
      <c r="L54" s="15">
        <f>INDEX($E$59:$G$81,$C$53,1)</f>
        <v>0.68200000000000005</v>
      </c>
      <c r="M54" s="15">
        <f>INDEX($E$59:$G$81,$D$53,1)</f>
        <v>0.68200000000000005</v>
      </c>
      <c r="O54" s="15">
        <f>INDEX($E$59:$G$81,$C$53,1)</f>
        <v>0.68200000000000005</v>
      </c>
      <c r="P54" s="15">
        <f>INDEX($E$59:$G$81,$D$53,1)</f>
        <v>0.68200000000000005</v>
      </c>
    </row>
    <row r="55" spans="1:16" outlineLevel="1" x14ac:dyDescent="0.25">
      <c r="B55" t="s">
        <v>62</v>
      </c>
      <c r="C55" s="15">
        <f>INDEX($E$59:$G$81,$C$53,2)</f>
        <v>0.45</v>
      </c>
      <c r="D55" s="15">
        <f>INDEX($E$59:$G$81,$D$53,2)</f>
        <v>0.45</v>
      </c>
      <c r="F55" s="15">
        <f>INDEX($E$59:$G$81,$C$53,2)</f>
        <v>0.45</v>
      </c>
      <c r="G55" s="15">
        <f>INDEX($E$59:$G$81,$D$53,2)</f>
        <v>0.45</v>
      </c>
      <c r="I55" s="15">
        <f>INDEX($E$59:$G$81,$C$53,2)</f>
        <v>0.45</v>
      </c>
      <c r="J55" s="15">
        <f>INDEX($E$59:$G$81,$D$53,2)</f>
        <v>0.45</v>
      </c>
      <c r="L55" s="15">
        <f>INDEX($E$59:$G$81,$C$53,2)</f>
        <v>0.45</v>
      </c>
      <c r="M55" s="15">
        <f>INDEX($E$59:$G$81,$D$53,2)</f>
        <v>0.45</v>
      </c>
      <c r="O55" s="15">
        <f>INDEX($E$59:$G$81,$C$53,2)</f>
        <v>0.45</v>
      </c>
      <c r="P55" s="15">
        <f>INDEX($E$59:$G$81,$D$53,2)</f>
        <v>0.45</v>
      </c>
    </row>
    <row r="56" spans="1:16" outlineLevel="1" x14ac:dyDescent="0.25">
      <c r="B56" t="s">
        <v>63</v>
      </c>
      <c r="C56" s="15">
        <f>INDEX($E$59:$G$81,$C$53,3)</f>
        <v>-0.14000000000000001</v>
      </c>
      <c r="D56" s="15">
        <f>INDEX($E$59:$G$81,$D$53,3)</f>
        <v>-0.14000000000000001</v>
      </c>
      <c r="F56" s="15">
        <f>INDEX($E$59:$G$81,$C$53,3)</f>
        <v>-0.14000000000000001</v>
      </c>
      <c r="G56" s="15">
        <f>INDEX($E$59:$G$81,$D$53,3)</f>
        <v>-0.14000000000000001</v>
      </c>
      <c r="I56" s="15">
        <f>INDEX($E$59:$G$81,$C$53,3)</f>
        <v>-0.14000000000000001</v>
      </c>
      <c r="J56" s="15">
        <f>INDEX($E$59:$G$81,$D$53,3)</f>
        <v>-0.14000000000000001</v>
      </c>
      <c r="L56" s="15">
        <f>INDEX($E$59:$G$81,$C$53,3)</f>
        <v>-0.14000000000000001</v>
      </c>
      <c r="M56" s="15">
        <f>INDEX($E$59:$G$81,$D$53,3)</f>
        <v>-0.14000000000000001</v>
      </c>
      <c r="O56" s="15">
        <f>INDEX($E$59:$G$81,$C$53,3)</f>
        <v>-0.14000000000000001</v>
      </c>
      <c r="P56" s="15">
        <f>INDEX($E$59:$G$81,$D$53,3)</f>
        <v>-0.14000000000000001</v>
      </c>
    </row>
    <row r="57" spans="1:16" outlineLevel="1" x14ac:dyDescent="0.25">
      <c r="C57" s="15"/>
    </row>
    <row r="58" spans="1:16" outlineLevel="1" x14ac:dyDescent="0.25">
      <c r="C58" t="s">
        <v>47</v>
      </c>
      <c r="D58" t="s">
        <v>48</v>
      </c>
      <c r="E58" s="32" t="s">
        <v>44</v>
      </c>
      <c r="F58" s="32" t="s">
        <v>45</v>
      </c>
      <c r="G58" s="32" t="s">
        <v>46</v>
      </c>
      <c r="I58" t="s">
        <v>60</v>
      </c>
      <c r="K58" t="s">
        <v>69</v>
      </c>
      <c r="N58" s="15"/>
    </row>
    <row r="59" spans="1:16" outlineLevel="1" x14ac:dyDescent="0.25">
      <c r="A59">
        <v>1</v>
      </c>
      <c r="B59" t="str">
        <f>I60</f>
        <v>Viviendas</v>
      </c>
      <c r="C59" t="s">
        <v>49</v>
      </c>
      <c r="D59" s="21" t="s">
        <v>50</v>
      </c>
      <c r="E59" s="33">
        <v>0.68200000000000005</v>
      </c>
      <c r="F59" s="33">
        <v>0.45</v>
      </c>
      <c r="G59" s="33">
        <v>-0.14000000000000001</v>
      </c>
    </row>
    <row r="60" spans="1:16" outlineLevel="1" x14ac:dyDescent="0.25">
      <c r="A60">
        <f>A59+1</f>
        <v>2</v>
      </c>
      <c r="C60" s="21" t="s">
        <v>51</v>
      </c>
      <c r="D60" s="21" t="s">
        <v>52</v>
      </c>
      <c r="E60" s="33">
        <v>1</v>
      </c>
      <c r="F60" s="33">
        <v>1</v>
      </c>
      <c r="G60" s="33">
        <v>0</v>
      </c>
      <c r="I60" t="s">
        <v>43</v>
      </c>
      <c r="K60">
        <v>1</v>
      </c>
    </row>
    <row r="61" spans="1:16" outlineLevel="1" x14ac:dyDescent="0.25">
      <c r="A61">
        <f t="shared" ref="A61:A81" si="0">A60+1</f>
        <v>3</v>
      </c>
      <c r="C61" s="21" t="s">
        <v>51</v>
      </c>
      <c r="D61" s="21" t="s">
        <v>50</v>
      </c>
      <c r="E61" s="33">
        <v>1.7</v>
      </c>
      <c r="F61" s="33">
        <v>0.2</v>
      </c>
      <c r="G61" s="33">
        <v>-0.7</v>
      </c>
      <c r="I61" t="s">
        <v>64</v>
      </c>
      <c r="K61">
        <v>5</v>
      </c>
    </row>
    <row r="62" spans="1:16" outlineLevel="1" x14ac:dyDescent="0.25">
      <c r="A62">
        <f t="shared" si="0"/>
        <v>4</v>
      </c>
      <c r="C62" s="21" t="s">
        <v>53</v>
      </c>
      <c r="D62" s="21" t="s">
        <v>54</v>
      </c>
      <c r="E62" s="33">
        <v>1.7</v>
      </c>
      <c r="F62" s="33">
        <v>0.21</v>
      </c>
      <c r="G62" s="33">
        <v>-0.7</v>
      </c>
      <c r="I62" t="s">
        <v>65</v>
      </c>
      <c r="K62">
        <v>9</v>
      </c>
    </row>
    <row r="63" spans="1:16" outlineLevel="1" x14ac:dyDescent="0.25">
      <c r="A63">
        <f t="shared" si="0"/>
        <v>5</v>
      </c>
      <c r="B63" t="str">
        <f>I61</f>
        <v>Oficinas, estaciones, aeropuertos, etc</v>
      </c>
      <c r="C63" t="s">
        <v>49</v>
      </c>
      <c r="D63" s="21" t="s">
        <v>50</v>
      </c>
      <c r="E63" s="33">
        <v>0.68200000000000005</v>
      </c>
      <c r="F63" s="33">
        <v>0.45</v>
      </c>
      <c r="G63" s="33">
        <v>-0.14000000000000001</v>
      </c>
      <c r="I63" t="s">
        <v>66</v>
      </c>
      <c r="K63">
        <v>4</v>
      </c>
    </row>
    <row r="64" spans="1:16" outlineLevel="1" x14ac:dyDescent="0.25">
      <c r="A64">
        <f t="shared" si="0"/>
        <v>6</v>
      </c>
      <c r="C64" s="21" t="s">
        <v>51</v>
      </c>
      <c r="D64" s="21" t="s">
        <v>52</v>
      </c>
      <c r="E64" s="33">
        <v>1</v>
      </c>
      <c r="F64" s="33">
        <v>1</v>
      </c>
      <c r="G64" s="33">
        <v>0</v>
      </c>
      <c r="I64" t="s">
        <v>67</v>
      </c>
      <c r="K64">
        <v>5</v>
      </c>
    </row>
    <row r="65" spans="1:11" outlineLevel="1" x14ac:dyDescent="0.25">
      <c r="A65">
        <f t="shared" si="0"/>
        <v>7</v>
      </c>
      <c r="C65" s="21" t="s">
        <v>51</v>
      </c>
      <c r="D65" s="21" t="s">
        <v>50</v>
      </c>
      <c r="E65" s="33">
        <v>1.7</v>
      </c>
      <c r="F65" s="33">
        <v>0.21</v>
      </c>
      <c r="G65" s="33">
        <v>-0.7</v>
      </c>
      <c r="I65" t="s">
        <v>68</v>
      </c>
      <c r="K65">
        <v>6</v>
      </c>
    </row>
    <row r="66" spans="1:11" outlineLevel="1" x14ac:dyDescent="0.25">
      <c r="A66">
        <f t="shared" si="0"/>
        <v>8</v>
      </c>
      <c r="C66" s="21" t="s">
        <v>53</v>
      </c>
      <c r="D66" s="21" t="s">
        <v>54</v>
      </c>
      <c r="E66" s="33">
        <v>0.4</v>
      </c>
      <c r="F66" s="33">
        <v>0.54</v>
      </c>
      <c r="G66" s="33">
        <v>0.48</v>
      </c>
    </row>
    <row r="67" spans="1:11" outlineLevel="1" x14ac:dyDescent="0.25">
      <c r="A67">
        <f t="shared" si="0"/>
        <v>9</v>
      </c>
      <c r="B67" t="str">
        <f>I62</f>
        <v>Hoteles, discotecas, museos</v>
      </c>
      <c r="C67" t="s">
        <v>49</v>
      </c>
      <c r="D67" s="21" t="s">
        <v>50</v>
      </c>
      <c r="E67" s="33">
        <v>0.69</v>
      </c>
      <c r="F67" s="33">
        <v>0.5</v>
      </c>
      <c r="G67" s="33">
        <v>-0.12</v>
      </c>
    </row>
    <row r="68" spans="1:11" outlineLevel="1" x14ac:dyDescent="0.25">
      <c r="A68">
        <f t="shared" si="0"/>
        <v>10</v>
      </c>
      <c r="C68" s="21" t="s">
        <v>51</v>
      </c>
      <c r="D68" s="21" t="s">
        <v>52</v>
      </c>
      <c r="E68" s="33">
        <v>1</v>
      </c>
      <c r="F68" s="33">
        <v>1</v>
      </c>
      <c r="G68" s="33">
        <v>0</v>
      </c>
    </row>
    <row r="69" spans="1:11" outlineLevel="1" x14ac:dyDescent="0.25">
      <c r="A69">
        <f t="shared" si="0"/>
        <v>11</v>
      </c>
      <c r="C69" s="21" t="s">
        <v>51</v>
      </c>
      <c r="D69" s="21" t="s">
        <v>50</v>
      </c>
      <c r="E69" s="33">
        <v>1</v>
      </c>
      <c r="F69" s="33">
        <v>0.36599999999999999</v>
      </c>
      <c r="G69" s="33">
        <v>0</v>
      </c>
    </row>
    <row r="70" spans="1:11" outlineLevel="1" x14ac:dyDescent="0.25">
      <c r="A70">
        <f t="shared" si="0"/>
        <v>12</v>
      </c>
      <c r="C70" s="21" t="s">
        <v>53</v>
      </c>
      <c r="D70" s="21" t="s">
        <v>54</v>
      </c>
      <c r="E70" s="33">
        <v>1.08</v>
      </c>
      <c r="F70" s="33">
        <v>0.5</v>
      </c>
      <c r="G70" s="33">
        <v>-1.83</v>
      </c>
    </row>
    <row r="71" spans="1:11" outlineLevel="1" x14ac:dyDescent="0.25">
      <c r="A71">
        <f t="shared" si="0"/>
        <v>13</v>
      </c>
      <c r="B71" t="str">
        <f>I63</f>
        <v>Centros Comerciales</v>
      </c>
      <c r="C71" t="s">
        <v>49</v>
      </c>
      <c r="D71" s="21" t="s">
        <v>50</v>
      </c>
      <c r="E71" s="33">
        <v>0.69799999999999995</v>
      </c>
      <c r="F71" s="33">
        <v>0.5</v>
      </c>
      <c r="G71" s="33">
        <v>-0.12</v>
      </c>
    </row>
    <row r="72" spans="1:11" outlineLevel="1" x14ac:dyDescent="0.25">
      <c r="A72">
        <f t="shared" si="0"/>
        <v>14</v>
      </c>
      <c r="C72" s="21" t="s">
        <v>51</v>
      </c>
      <c r="D72" s="21" t="s">
        <v>52</v>
      </c>
      <c r="E72" s="33">
        <v>1</v>
      </c>
      <c r="F72" s="33">
        <v>1</v>
      </c>
      <c r="G72" s="33">
        <v>0</v>
      </c>
    </row>
    <row r="73" spans="1:11" outlineLevel="1" x14ac:dyDescent="0.25">
      <c r="A73">
        <f t="shared" si="0"/>
        <v>15</v>
      </c>
      <c r="C73" s="21" t="s">
        <v>51</v>
      </c>
      <c r="D73" s="21" t="s">
        <v>50</v>
      </c>
      <c r="E73" s="33">
        <v>1</v>
      </c>
      <c r="F73" s="33">
        <v>0.36599999999999999</v>
      </c>
      <c r="G73" s="33">
        <v>0</v>
      </c>
    </row>
    <row r="74" spans="1:11" outlineLevel="1" x14ac:dyDescent="0.25">
      <c r="A74">
        <f t="shared" si="0"/>
        <v>16</v>
      </c>
      <c r="C74" s="21" t="s">
        <v>53</v>
      </c>
      <c r="D74" s="21" t="s">
        <v>54</v>
      </c>
      <c r="E74" s="33">
        <v>4.3</v>
      </c>
      <c r="F74" s="33">
        <v>0.27</v>
      </c>
      <c r="G74" s="33">
        <v>-6.65</v>
      </c>
    </row>
    <row r="75" spans="1:11" outlineLevel="1" x14ac:dyDescent="0.25">
      <c r="A75">
        <f t="shared" si="0"/>
        <v>17</v>
      </c>
      <c r="B75" t="str">
        <f>I64</f>
        <v>Hospitales</v>
      </c>
      <c r="C75" t="s">
        <v>49</v>
      </c>
      <c r="D75" s="21" t="s">
        <v>50</v>
      </c>
      <c r="E75" s="33">
        <v>0.69799999999999995</v>
      </c>
      <c r="F75" s="33">
        <v>0.5</v>
      </c>
      <c r="G75" s="33">
        <v>-0.12</v>
      </c>
    </row>
    <row r="76" spans="1:11" outlineLevel="1" x14ac:dyDescent="0.25">
      <c r="A76">
        <f t="shared" si="0"/>
        <v>18</v>
      </c>
      <c r="C76" s="21" t="s">
        <v>51</v>
      </c>
      <c r="D76" s="21" t="s">
        <v>52</v>
      </c>
      <c r="E76" s="33">
        <v>1</v>
      </c>
      <c r="F76" s="33">
        <v>1</v>
      </c>
      <c r="G76" s="33">
        <v>0</v>
      </c>
    </row>
    <row r="77" spans="1:11" outlineLevel="1" x14ac:dyDescent="0.25">
      <c r="A77">
        <f t="shared" si="0"/>
        <v>19</v>
      </c>
      <c r="C77" s="21" t="s">
        <v>51</v>
      </c>
      <c r="D77" s="21" t="s">
        <v>50</v>
      </c>
      <c r="E77" s="33">
        <v>1</v>
      </c>
      <c r="F77" s="33">
        <v>0.36599999999999999</v>
      </c>
      <c r="G77" s="33">
        <v>0</v>
      </c>
    </row>
    <row r="78" spans="1:11" outlineLevel="1" x14ac:dyDescent="0.25">
      <c r="A78">
        <f t="shared" si="0"/>
        <v>20</v>
      </c>
      <c r="C78" s="21" t="s">
        <v>53</v>
      </c>
      <c r="D78" s="21" t="s">
        <v>54</v>
      </c>
      <c r="E78" s="33">
        <v>0.25</v>
      </c>
      <c r="F78" s="33">
        <v>0.65</v>
      </c>
      <c r="G78" s="33">
        <v>1.25</v>
      </c>
    </row>
    <row r="79" spans="1:11" outlineLevel="1" x14ac:dyDescent="0.25">
      <c r="A79">
        <f t="shared" si="0"/>
        <v>21</v>
      </c>
      <c r="B79" t="str">
        <f>I65</f>
        <v>Escuelas, Polideportivos</v>
      </c>
      <c r="C79" s="21" t="s">
        <v>53</v>
      </c>
      <c r="D79" s="21" t="s">
        <v>72</v>
      </c>
      <c r="E79" s="33">
        <v>1</v>
      </c>
      <c r="F79" s="33">
        <v>1</v>
      </c>
      <c r="G79" s="33">
        <v>0</v>
      </c>
    </row>
    <row r="80" spans="1:11" outlineLevel="1" x14ac:dyDescent="0.25">
      <c r="A80">
        <f t="shared" si="0"/>
        <v>22</v>
      </c>
      <c r="C80" s="21" t="s">
        <v>53</v>
      </c>
      <c r="D80" s="21" t="s">
        <v>50</v>
      </c>
      <c r="E80" s="33">
        <v>4.4000000000000004</v>
      </c>
      <c r="F80" s="33">
        <v>0.27</v>
      </c>
      <c r="G80" s="33">
        <v>-3.4</v>
      </c>
    </row>
    <row r="81" spans="1:23" outlineLevel="1" x14ac:dyDescent="0.25">
      <c r="A81">
        <f t="shared" si="0"/>
        <v>23</v>
      </c>
      <c r="C81" s="21" t="s">
        <v>53</v>
      </c>
      <c r="D81" s="21" t="s">
        <v>54</v>
      </c>
      <c r="E81" s="33">
        <v>-22.5</v>
      </c>
      <c r="F81" s="33">
        <v>-0.5</v>
      </c>
      <c r="G81" s="33">
        <v>11.5</v>
      </c>
    </row>
    <row r="84" spans="1:23" s="13" customFormat="1" x14ac:dyDescent="0.25">
      <c r="B84" s="13" t="s">
        <v>90</v>
      </c>
    </row>
    <row r="85" spans="1:23" outlineLevel="1" x14ac:dyDescent="0.25">
      <c r="K85" t="s">
        <v>208</v>
      </c>
    </row>
    <row r="86" spans="1:23" outlineLevel="1" x14ac:dyDescent="0.25">
      <c r="B86" s="23" t="s">
        <v>91</v>
      </c>
      <c r="C86" s="32"/>
      <c r="D86" s="26" t="s">
        <v>226</v>
      </c>
      <c r="E86" s="26" t="s">
        <v>225</v>
      </c>
      <c r="F86" s="26" t="s">
        <v>228</v>
      </c>
      <c r="G86" s="26" t="s">
        <v>227</v>
      </c>
      <c r="H86" s="32"/>
      <c r="I86" s="32"/>
    </row>
    <row r="87" spans="1:23" outlineLevel="1" x14ac:dyDescent="0.25">
      <c r="B87" s="25" t="s">
        <v>172</v>
      </c>
      <c r="C87" s="26" t="s">
        <v>93</v>
      </c>
      <c r="D87" s="26" t="s">
        <v>94</v>
      </c>
      <c r="E87" s="63" t="s">
        <v>95</v>
      </c>
      <c r="F87" s="26" t="s">
        <v>98</v>
      </c>
      <c r="G87" s="26" t="s">
        <v>99</v>
      </c>
      <c r="H87" s="26" t="s">
        <v>100</v>
      </c>
      <c r="I87" s="26" t="s">
        <v>101</v>
      </c>
      <c r="K87" s="26" t="str">
        <f>'Consumos TIPO'!D12</f>
        <v>serie 5</v>
      </c>
      <c r="O87" t="s">
        <v>324</v>
      </c>
      <c r="R87" s="76" t="s">
        <v>207</v>
      </c>
      <c r="S87" s="76" t="s">
        <v>176</v>
      </c>
      <c r="T87" s="76" t="s">
        <v>175</v>
      </c>
      <c r="U87" s="76" t="s">
        <v>174</v>
      </c>
      <c r="V87" s="76" t="s">
        <v>173</v>
      </c>
      <c r="W87" s="76" t="s">
        <v>325</v>
      </c>
    </row>
    <row r="88" spans="1:23" outlineLevel="1" x14ac:dyDescent="0.25">
      <c r="B88" s="76" t="s">
        <v>207</v>
      </c>
      <c r="C88" s="26" t="s">
        <v>34</v>
      </c>
      <c r="D88" s="26" t="s">
        <v>34</v>
      </c>
      <c r="E88" s="63" t="s">
        <v>34</v>
      </c>
      <c r="F88" s="59" t="s">
        <v>166</v>
      </c>
      <c r="G88" s="26" t="s">
        <v>34</v>
      </c>
      <c r="H88" s="59" t="s">
        <v>166</v>
      </c>
      <c r="I88" s="59" t="s">
        <v>166</v>
      </c>
      <c r="K88" s="26" t="str">
        <f>INDEX($C$88:$I$93,1,MATCH($K$87,$C$87:$I$87,0))</f>
        <v>SI</v>
      </c>
      <c r="L88" s="76" t="s">
        <v>207</v>
      </c>
      <c r="R88" s="26" t="s">
        <v>93</v>
      </c>
      <c r="S88" s="63" t="s">
        <v>95</v>
      </c>
      <c r="T88" s="63" t="s">
        <v>95</v>
      </c>
      <c r="U88" s="63" t="s">
        <v>95</v>
      </c>
      <c r="V88" s="63" t="s">
        <v>95</v>
      </c>
    </row>
    <row r="89" spans="1:23" outlineLevel="1" x14ac:dyDescent="0.25">
      <c r="B89" s="76" t="s">
        <v>176</v>
      </c>
      <c r="C89" s="59" t="s">
        <v>166</v>
      </c>
      <c r="D89" s="59" t="s">
        <v>166</v>
      </c>
      <c r="E89" s="63" t="s">
        <v>34</v>
      </c>
      <c r="F89" s="26" t="s">
        <v>34</v>
      </c>
      <c r="G89" s="26" t="s">
        <v>34</v>
      </c>
      <c r="H89" s="26" t="s">
        <v>34</v>
      </c>
      <c r="I89" s="59" t="s">
        <v>166</v>
      </c>
      <c r="K89" s="26" t="str">
        <f>INDEX($C$88:$I$93,2,MATCH($K$87,$C$87:$I$87,0))</f>
        <v>SI</v>
      </c>
      <c r="L89" s="76" t="s">
        <v>176</v>
      </c>
      <c r="R89" s="26" t="s">
        <v>94</v>
      </c>
      <c r="S89" s="26" t="s">
        <v>98</v>
      </c>
      <c r="T89" s="26" t="s">
        <v>98</v>
      </c>
      <c r="U89" s="26" t="s">
        <v>98</v>
      </c>
      <c r="V89" s="26" t="s">
        <v>98</v>
      </c>
    </row>
    <row r="90" spans="1:23" outlineLevel="1" x14ac:dyDescent="0.25">
      <c r="B90" s="76" t="s">
        <v>175</v>
      </c>
      <c r="C90" s="59" t="s">
        <v>166</v>
      </c>
      <c r="D90" s="59" t="s">
        <v>166</v>
      </c>
      <c r="E90" s="63" t="s">
        <v>34</v>
      </c>
      <c r="F90" s="26" t="s">
        <v>34</v>
      </c>
      <c r="G90" s="26" t="s">
        <v>34</v>
      </c>
      <c r="H90" s="26" t="s">
        <v>34</v>
      </c>
      <c r="I90" s="59" t="s">
        <v>166</v>
      </c>
      <c r="K90" s="26" t="str">
        <f>INDEX($C$88:$I$93,3,MATCH($K$87,$C$87:$I$87,0))</f>
        <v>SI</v>
      </c>
      <c r="L90" s="76" t="s">
        <v>175</v>
      </c>
      <c r="R90" s="26" t="s">
        <v>95</v>
      </c>
      <c r="S90" s="26" t="s">
        <v>99</v>
      </c>
      <c r="T90" s="26" t="s">
        <v>99</v>
      </c>
      <c r="U90" s="26" t="s">
        <v>99</v>
      </c>
      <c r="V90" s="26" t="s">
        <v>99</v>
      </c>
    </row>
    <row r="91" spans="1:23" outlineLevel="1" x14ac:dyDescent="0.25">
      <c r="B91" s="76" t="s">
        <v>174</v>
      </c>
      <c r="C91" s="59" t="s">
        <v>166</v>
      </c>
      <c r="D91" s="59" t="s">
        <v>166</v>
      </c>
      <c r="E91" s="63" t="s">
        <v>34</v>
      </c>
      <c r="F91" s="26" t="s">
        <v>34</v>
      </c>
      <c r="G91" s="26" t="s">
        <v>34</v>
      </c>
      <c r="H91" s="26" t="s">
        <v>34</v>
      </c>
      <c r="I91" s="59" t="s">
        <v>166</v>
      </c>
      <c r="K91" s="26" t="str">
        <f>INDEX($C$88:$I$93,4,MATCH($K$87,$C$87:$I$87,0))</f>
        <v>SI</v>
      </c>
      <c r="L91" s="76" t="s">
        <v>174</v>
      </c>
      <c r="R91" s="26" t="s">
        <v>99</v>
      </c>
      <c r="S91" s="26" t="s">
        <v>100</v>
      </c>
      <c r="T91" s="26" t="s">
        <v>100</v>
      </c>
      <c r="U91" s="26" t="s">
        <v>100</v>
      </c>
      <c r="V91" s="26" t="s">
        <v>100</v>
      </c>
    </row>
    <row r="92" spans="1:23" outlineLevel="1" x14ac:dyDescent="0.25">
      <c r="B92" s="76" t="s">
        <v>173</v>
      </c>
      <c r="C92" s="59" t="s">
        <v>166</v>
      </c>
      <c r="D92" s="59" t="s">
        <v>166</v>
      </c>
      <c r="E92" s="60" t="s">
        <v>34</v>
      </c>
      <c r="F92" s="26" t="s">
        <v>34</v>
      </c>
      <c r="G92" s="26" t="s">
        <v>34</v>
      </c>
      <c r="H92" s="26" t="s">
        <v>34</v>
      </c>
      <c r="I92" s="26" t="s">
        <v>34</v>
      </c>
      <c r="K92" s="26" t="str">
        <f>INDEX($C$88:$I$93,5,MATCH($K$87,$C$87:$I$87,0))</f>
        <v>SI</v>
      </c>
      <c r="L92" s="76" t="s">
        <v>173</v>
      </c>
      <c r="V92" s="26" t="s">
        <v>101</v>
      </c>
    </row>
    <row r="93" spans="1:23" outlineLevel="1" x14ac:dyDescent="0.25">
      <c r="B93" s="76" t="s">
        <v>165</v>
      </c>
      <c r="C93" s="59" t="s">
        <v>166</v>
      </c>
      <c r="D93" s="59" t="s">
        <v>166</v>
      </c>
      <c r="E93" s="61" t="s">
        <v>166</v>
      </c>
      <c r="F93" s="26" t="s">
        <v>34</v>
      </c>
      <c r="G93" s="26" t="s">
        <v>34</v>
      </c>
      <c r="H93" s="26" t="s">
        <v>34</v>
      </c>
      <c r="I93" s="59" t="s">
        <v>166</v>
      </c>
      <c r="K93" s="26" t="str">
        <f>INDEX($C$88:$I$93,6,MATCH($K$87,$C$87:$I$87,0))</f>
        <v>SI</v>
      </c>
      <c r="L93" s="76" t="s">
        <v>165</v>
      </c>
    </row>
    <row r="94" spans="1:23" outlineLevel="1" x14ac:dyDescent="0.25">
      <c r="B94" s="14" t="s">
        <v>206</v>
      </c>
      <c r="C94" s="75">
        <v>2</v>
      </c>
      <c r="D94" s="75">
        <f t="shared" ref="D94:I94" si="1">C94+2</f>
        <v>4</v>
      </c>
      <c r="E94" s="75">
        <f t="shared" si="1"/>
        <v>6</v>
      </c>
      <c r="F94" s="75">
        <f t="shared" si="1"/>
        <v>8</v>
      </c>
      <c r="G94" s="75">
        <f t="shared" si="1"/>
        <v>10</v>
      </c>
      <c r="H94" s="75">
        <f t="shared" si="1"/>
        <v>12</v>
      </c>
      <c r="I94" s="75">
        <f t="shared" si="1"/>
        <v>14</v>
      </c>
    </row>
    <row r="95" spans="1:23" outlineLevel="1" x14ac:dyDescent="0.25">
      <c r="B95" s="62"/>
      <c r="R95" s="503" t="s">
        <v>102</v>
      </c>
      <c r="S95" s="503"/>
    </row>
    <row r="96" spans="1:23" outlineLevel="1" x14ac:dyDescent="0.25">
      <c r="C96" s="59" t="s">
        <v>166</v>
      </c>
      <c r="D96" s="26" t="s">
        <v>93</v>
      </c>
      <c r="E96" s="59" t="s">
        <v>166</v>
      </c>
      <c r="F96" s="26" t="s">
        <v>94</v>
      </c>
      <c r="G96" s="59" t="s">
        <v>166</v>
      </c>
      <c r="H96" s="63" t="s">
        <v>95</v>
      </c>
      <c r="I96" s="59" t="s">
        <v>166</v>
      </c>
      <c r="J96" s="26" t="s">
        <v>98</v>
      </c>
      <c r="K96" s="59" t="s">
        <v>166</v>
      </c>
      <c r="L96" s="26" t="s">
        <v>99</v>
      </c>
      <c r="M96" s="59" t="s">
        <v>166</v>
      </c>
      <c r="N96" s="26" t="s">
        <v>100</v>
      </c>
      <c r="O96" s="59" t="s">
        <v>166</v>
      </c>
      <c r="P96" s="26" t="s">
        <v>101</v>
      </c>
      <c r="R96" s="503" t="str">
        <f>'Consumos TIPO'!D12</f>
        <v>serie 5</v>
      </c>
      <c r="S96" s="503"/>
    </row>
    <row r="97" spans="1:20" outlineLevel="1" x14ac:dyDescent="0.25">
      <c r="B97" s="14" t="s">
        <v>92</v>
      </c>
      <c r="C97" s="26" t="s">
        <v>96</v>
      </c>
      <c r="D97" s="26" t="s">
        <v>97</v>
      </c>
      <c r="E97" s="26" t="s">
        <v>96</v>
      </c>
      <c r="F97" s="26" t="s">
        <v>97</v>
      </c>
      <c r="G97" s="26" t="s">
        <v>96</v>
      </c>
      <c r="H97" s="60" t="s">
        <v>97</v>
      </c>
      <c r="I97" s="60" t="s">
        <v>96</v>
      </c>
      <c r="J97" s="26" t="s">
        <v>97</v>
      </c>
      <c r="K97" s="26" t="s">
        <v>96</v>
      </c>
      <c r="L97" s="26" t="s">
        <v>97</v>
      </c>
      <c r="M97" s="26" t="s">
        <v>96</v>
      </c>
      <c r="N97" s="26" t="s">
        <v>97</v>
      </c>
      <c r="O97" s="26" t="s">
        <v>96</v>
      </c>
      <c r="P97" s="26" t="s">
        <v>97</v>
      </c>
      <c r="R97" s="26" t="s">
        <v>97</v>
      </c>
      <c r="S97" s="26" t="s">
        <v>103</v>
      </c>
    </row>
    <row r="98" spans="1:20" outlineLevel="1" x14ac:dyDescent="0.25">
      <c r="A98">
        <v>1</v>
      </c>
      <c r="B98">
        <v>12</v>
      </c>
      <c r="C98" s="26">
        <v>2.4</v>
      </c>
      <c r="D98" s="26">
        <v>7.2</v>
      </c>
      <c r="E98" s="26">
        <v>2</v>
      </c>
      <c r="F98" s="26">
        <v>8</v>
      </c>
      <c r="G98" s="26">
        <v>1.6</v>
      </c>
      <c r="H98" s="60">
        <v>8.8000000000000007</v>
      </c>
      <c r="I98" s="60">
        <v>1.3</v>
      </c>
      <c r="J98" s="26">
        <v>9.3000000000000007</v>
      </c>
      <c r="K98" s="26">
        <v>1.1000000000000001</v>
      </c>
      <c r="L98" s="26">
        <v>9.8000000000000007</v>
      </c>
      <c r="M98" s="26">
        <v>0.9</v>
      </c>
      <c r="N98" s="26">
        <v>10.199999999999999</v>
      </c>
      <c r="O98" s="26">
        <v>0.7</v>
      </c>
      <c r="P98" s="26">
        <v>10.6</v>
      </c>
      <c r="R98" s="26">
        <f t="shared" ref="R98:R111" si="2">HLOOKUP($R$96,$C$96:$P$111,T98,FALSE)</f>
        <v>9.8000000000000007</v>
      </c>
      <c r="S98" s="26">
        <v>12</v>
      </c>
      <c r="T98" s="32">
        <v>3</v>
      </c>
    </row>
    <row r="99" spans="1:20" outlineLevel="1" x14ac:dyDescent="0.25">
      <c r="A99">
        <f>A98+1</f>
        <v>2</v>
      </c>
      <c r="B99">
        <v>16</v>
      </c>
      <c r="C99" s="26">
        <v>3.2</v>
      </c>
      <c r="D99" s="26">
        <v>9.6</v>
      </c>
      <c r="E99" s="26">
        <v>2.7</v>
      </c>
      <c r="F99" s="26">
        <v>10.7</v>
      </c>
      <c r="G99" s="26">
        <v>2.2000000000000002</v>
      </c>
      <c r="H99" s="60">
        <v>11.7</v>
      </c>
      <c r="I99" s="60">
        <v>1.8</v>
      </c>
      <c r="J99" s="26">
        <v>12.4</v>
      </c>
      <c r="K99" s="26">
        <v>1.5</v>
      </c>
      <c r="L99" s="26">
        <v>13.1</v>
      </c>
      <c r="M99" s="26">
        <v>1.2</v>
      </c>
      <c r="N99" s="26">
        <v>13.6</v>
      </c>
      <c r="O99" s="26">
        <v>0.9</v>
      </c>
      <c r="P99" s="26">
        <v>14.1</v>
      </c>
      <c r="R99" s="26">
        <f t="shared" si="2"/>
        <v>13.1</v>
      </c>
      <c r="S99" s="26">
        <v>16</v>
      </c>
      <c r="T99" s="32">
        <f>T98+1</f>
        <v>4</v>
      </c>
    </row>
    <row r="100" spans="1:20" outlineLevel="1" x14ac:dyDescent="0.25">
      <c r="A100">
        <f t="shared" ref="A100:A111" si="3">A99+1</f>
        <v>3</v>
      </c>
      <c r="B100">
        <v>20</v>
      </c>
      <c r="C100" s="26">
        <v>4</v>
      </c>
      <c r="D100" s="26">
        <v>12</v>
      </c>
      <c r="E100" s="26">
        <v>3.3</v>
      </c>
      <c r="F100" s="26">
        <v>13.3</v>
      </c>
      <c r="G100" s="26">
        <v>2.7</v>
      </c>
      <c r="H100" s="60">
        <v>14.6</v>
      </c>
      <c r="I100" s="60">
        <v>2.2000000000000002</v>
      </c>
      <c r="J100" s="26">
        <v>15.6</v>
      </c>
      <c r="K100" s="26">
        <v>1.8</v>
      </c>
      <c r="L100" s="26">
        <v>16.399999999999999</v>
      </c>
      <c r="M100" s="26">
        <v>1.5</v>
      </c>
      <c r="N100" s="26">
        <v>17.100000000000001</v>
      </c>
      <c r="O100" s="26">
        <v>1.2</v>
      </c>
      <c r="P100" s="26">
        <v>17.600000000000001</v>
      </c>
      <c r="R100" s="26">
        <f t="shared" si="2"/>
        <v>16.399999999999999</v>
      </c>
      <c r="S100" s="26">
        <v>20</v>
      </c>
      <c r="T100" s="32">
        <f t="shared" ref="T100:T111" si="4">T99+1</f>
        <v>5</v>
      </c>
    </row>
    <row r="101" spans="1:20" outlineLevel="1" x14ac:dyDescent="0.25">
      <c r="A101">
        <f t="shared" si="3"/>
        <v>4</v>
      </c>
      <c r="B101">
        <v>25</v>
      </c>
      <c r="C101" s="26">
        <v>5</v>
      </c>
      <c r="D101" s="26">
        <v>15</v>
      </c>
      <c r="E101" s="26">
        <v>4.2</v>
      </c>
      <c r="F101" s="26">
        <v>16.7</v>
      </c>
      <c r="G101" s="26">
        <v>3.4</v>
      </c>
      <c r="H101" s="60">
        <v>18.2</v>
      </c>
      <c r="I101" s="60">
        <v>2.8</v>
      </c>
      <c r="J101" s="26">
        <v>19.399999999999999</v>
      </c>
      <c r="K101" s="26">
        <v>2.2999999999999998</v>
      </c>
      <c r="L101" s="26">
        <v>20.5</v>
      </c>
      <c r="M101" s="26">
        <v>1.8</v>
      </c>
      <c r="N101" s="26">
        <v>21.3</v>
      </c>
      <c r="O101" s="26">
        <v>1.5</v>
      </c>
      <c r="P101" s="26">
        <v>22.1</v>
      </c>
      <c r="R101" s="26">
        <f t="shared" si="2"/>
        <v>20.5</v>
      </c>
      <c r="S101" s="26">
        <v>25</v>
      </c>
      <c r="T101" s="32">
        <f t="shared" si="4"/>
        <v>6</v>
      </c>
    </row>
    <row r="102" spans="1:20" outlineLevel="1" x14ac:dyDescent="0.25">
      <c r="A102">
        <f t="shared" si="3"/>
        <v>5</v>
      </c>
      <c r="B102">
        <v>32</v>
      </c>
      <c r="C102" s="26">
        <v>6.4</v>
      </c>
      <c r="D102" s="26">
        <v>19.2</v>
      </c>
      <c r="E102" s="26">
        <v>5.3</v>
      </c>
      <c r="F102" s="26">
        <v>21.3</v>
      </c>
      <c r="G102" s="26">
        <v>4.3</v>
      </c>
      <c r="H102" s="60">
        <v>23.4</v>
      </c>
      <c r="I102" s="60">
        <v>3.6</v>
      </c>
      <c r="J102" s="26">
        <v>24.9</v>
      </c>
      <c r="K102" s="26">
        <v>2.9</v>
      </c>
      <c r="L102" s="26">
        <v>26.2</v>
      </c>
      <c r="M102" s="26">
        <v>2.4</v>
      </c>
      <c r="N102" s="26">
        <v>27.3</v>
      </c>
      <c r="O102" s="26">
        <v>1.9</v>
      </c>
      <c r="P102" s="26">
        <v>28.2</v>
      </c>
      <c r="R102" s="26">
        <f t="shared" si="2"/>
        <v>26.2</v>
      </c>
      <c r="S102" s="26">
        <v>32</v>
      </c>
      <c r="T102" s="32">
        <f t="shared" si="4"/>
        <v>7</v>
      </c>
    </row>
    <row r="103" spans="1:20" outlineLevel="1" x14ac:dyDescent="0.25">
      <c r="A103">
        <f t="shared" si="3"/>
        <v>6</v>
      </c>
      <c r="B103">
        <v>40</v>
      </c>
      <c r="C103" s="26">
        <v>8</v>
      </c>
      <c r="D103" s="26">
        <v>24</v>
      </c>
      <c r="E103" s="26">
        <v>6.7</v>
      </c>
      <c r="F103" s="26">
        <v>26.7</v>
      </c>
      <c r="G103" s="26">
        <v>5.4</v>
      </c>
      <c r="H103" s="60">
        <v>29.2</v>
      </c>
      <c r="I103" s="60">
        <v>4.4000000000000004</v>
      </c>
      <c r="J103" s="26">
        <v>31.1</v>
      </c>
      <c r="K103" s="26">
        <v>3.6</v>
      </c>
      <c r="L103" s="26">
        <v>32.700000000000003</v>
      </c>
      <c r="M103" s="26">
        <v>2.9</v>
      </c>
      <c r="N103" s="26">
        <v>34.1</v>
      </c>
      <c r="O103" s="26">
        <v>2.4</v>
      </c>
      <c r="P103" s="26">
        <v>35.299999999999997</v>
      </c>
      <c r="R103" s="26">
        <f t="shared" si="2"/>
        <v>32.700000000000003</v>
      </c>
      <c r="S103" s="26">
        <v>40</v>
      </c>
      <c r="T103" s="32">
        <f t="shared" si="4"/>
        <v>8</v>
      </c>
    </row>
    <row r="104" spans="1:20" outlineLevel="1" x14ac:dyDescent="0.25">
      <c r="A104">
        <f t="shared" si="3"/>
        <v>7</v>
      </c>
      <c r="B104">
        <v>50</v>
      </c>
      <c r="C104" s="26">
        <v>10</v>
      </c>
      <c r="D104" s="26">
        <v>30</v>
      </c>
      <c r="E104" s="26">
        <v>8.3000000000000007</v>
      </c>
      <c r="F104" s="26">
        <v>33.299999999999997</v>
      </c>
      <c r="G104" s="26">
        <v>6.8</v>
      </c>
      <c r="H104" s="60">
        <v>36.5</v>
      </c>
      <c r="I104" s="60">
        <v>5.6</v>
      </c>
      <c r="J104" s="26">
        <v>38.9</v>
      </c>
      <c r="K104" s="26">
        <v>4.5</v>
      </c>
      <c r="L104" s="26">
        <v>40.9</v>
      </c>
      <c r="M104" s="26">
        <v>3.7</v>
      </c>
      <c r="N104" s="26">
        <v>42.6</v>
      </c>
      <c r="O104" s="26">
        <v>2.9</v>
      </c>
      <c r="P104" s="26">
        <v>44.1</v>
      </c>
      <c r="R104" s="26">
        <f t="shared" si="2"/>
        <v>40.9</v>
      </c>
      <c r="S104" s="26">
        <v>50</v>
      </c>
      <c r="T104" s="32">
        <f t="shared" si="4"/>
        <v>9</v>
      </c>
    </row>
    <row r="105" spans="1:20" outlineLevel="1" x14ac:dyDescent="0.25">
      <c r="A105">
        <f t="shared" si="3"/>
        <v>8</v>
      </c>
      <c r="B105">
        <v>63</v>
      </c>
      <c r="C105" s="26">
        <v>12.6</v>
      </c>
      <c r="D105" s="26">
        <v>37.799999999999997</v>
      </c>
      <c r="E105" s="26">
        <v>10.5</v>
      </c>
      <c r="F105" s="26">
        <v>42</v>
      </c>
      <c r="G105" s="26">
        <v>8.5</v>
      </c>
      <c r="H105" s="60">
        <v>46</v>
      </c>
      <c r="I105" s="60">
        <v>7</v>
      </c>
      <c r="J105" s="26">
        <v>49</v>
      </c>
      <c r="K105" s="26">
        <v>5.7</v>
      </c>
      <c r="L105" s="26">
        <v>51.5</v>
      </c>
      <c r="M105" s="26">
        <v>4.5999999999999996</v>
      </c>
      <c r="N105" s="26">
        <v>53.7</v>
      </c>
      <c r="O105" s="26">
        <v>3.7</v>
      </c>
      <c r="P105" s="26">
        <v>55.6</v>
      </c>
      <c r="R105" s="26">
        <f t="shared" si="2"/>
        <v>51.5</v>
      </c>
      <c r="S105" s="26">
        <v>63</v>
      </c>
      <c r="T105" s="32">
        <f t="shared" si="4"/>
        <v>10</v>
      </c>
    </row>
    <row r="106" spans="1:20" outlineLevel="1" x14ac:dyDescent="0.25">
      <c r="A106">
        <f t="shared" si="3"/>
        <v>9</v>
      </c>
      <c r="B106">
        <v>75</v>
      </c>
      <c r="C106" s="26">
        <v>15</v>
      </c>
      <c r="D106" s="26">
        <v>45</v>
      </c>
      <c r="E106" s="26">
        <v>12.5</v>
      </c>
      <c r="F106" s="26">
        <v>50</v>
      </c>
      <c r="G106" s="26">
        <v>10.1</v>
      </c>
      <c r="H106" s="60">
        <v>54.7</v>
      </c>
      <c r="I106" s="60">
        <v>8.3000000000000007</v>
      </c>
      <c r="J106" s="26">
        <v>58.3</v>
      </c>
      <c r="K106" s="26">
        <v>6.8</v>
      </c>
      <c r="L106" s="26">
        <v>61.4</v>
      </c>
      <c r="M106" s="26">
        <v>5.5</v>
      </c>
      <c r="N106" s="26">
        <v>64</v>
      </c>
      <c r="O106" s="26">
        <v>4.4000000000000004</v>
      </c>
      <c r="P106" s="26">
        <v>66.2</v>
      </c>
      <c r="R106" s="26">
        <f t="shared" si="2"/>
        <v>61.4</v>
      </c>
      <c r="S106" s="26">
        <v>75</v>
      </c>
      <c r="T106" s="32">
        <f t="shared" si="4"/>
        <v>11</v>
      </c>
    </row>
    <row r="107" spans="1:20" outlineLevel="1" x14ac:dyDescent="0.25">
      <c r="A107">
        <f t="shared" si="3"/>
        <v>10</v>
      </c>
      <c r="B107">
        <v>90</v>
      </c>
      <c r="C107" s="26">
        <v>18</v>
      </c>
      <c r="D107" s="26">
        <v>54</v>
      </c>
      <c r="E107" s="26">
        <v>15</v>
      </c>
      <c r="F107" s="26">
        <v>60</v>
      </c>
      <c r="G107" s="26">
        <v>12.2</v>
      </c>
      <c r="H107" s="60">
        <v>65.7</v>
      </c>
      <c r="I107" s="60">
        <v>10</v>
      </c>
      <c r="J107" s="26">
        <v>70</v>
      </c>
      <c r="K107" s="26">
        <v>8.1999999999999993</v>
      </c>
      <c r="L107" s="26">
        <v>73.599999999999994</v>
      </c>
      <c r="M107" s="26">
        <v>6.6</v>
      </c>
      <c r="N107" s="26">
        <v>76.8</v>
      </c>
      <c r="O107" s="26">
        <v>5.3</v>
      </c>
      <c r="P107" s="26">
        <v>79.400000000000006</v>
      </c>
      <c r="R107" s="26">
        <f t="shared" si="2"/>
        <v>73.599999999999994</v>
      </c>
      <c r="S107" s="26">
        <v>90</v>
      </c>
      <c r="T107" s="32">
        <f t="shared" si="4"/>
        <v>12</v>
      </c>
    </row>
    <row r="108" spans="1:20" outlineLevel="1" x14ac:dyDescent="0.25">
      <c r="A108">
        <f t="shared" si="3"/>
        <v>11</v>
      </c>
      <c r="B108">
        <v>110</v>
      </c>
      <c r="C108" s="26">
        <v>22</v>
      </c>
      <c r="D108" s="26">
        <v>66</v>
      </c>
      <c r="E108" s="26">
        <v>18.3</v>
      </c>
      <c r="F108" s="26">
        <v>73.3</v>
      </c>
      <c r="G108" s="26">
        <v>14.9</v>
      </c>
      <c r="H108" s="60">
        <v>80.3</v>
      </c>
      <c r="I108" s="60">
        <v>12.2</v>
      </c>
      <c r="J108" s="26">
        <v>85.6</v>
      </c>
      <c r="K108" s="26">
        <v>10</v>
      </c>
      <c r="L108" s="26">
        <v>90</v>
      </c>
      <c r="M108" s="26">
        <v>8.1</v>
      </c>
      <c r="N108" s="26">
        <v>93.8</v>
      </c>
      <c r="O108" s="26">
        <v>6.5</v>
      </c>
      <c r="P108" s="26">
        <v>97.1</v>
      </c>
      <c r="R108" s="26">
        <f t="shared" si="2"/>
        <v>90</v>
      </c>
      <c r="S108" s="26">
        <v>110</v>
      </c>
      <c r="T108" s="32">
        <f t="shared" si="4"/>
        <v>13</v>
      </c>
    </row>
    <row r="109" spans="1:20" outlineLevel="1" x14ac:dyDescent="0.25">
      <c r="A109">
        <f t="shared" si="3"/>
        <v>12</v>
      </c>
      <c r="B109">
        <v>125</v>
      </c>
      <c r="C109" s="26">
        <v>25</v>
      </c>
      <c r="D109" s="26">
        <v>75</v>
      </c>
      <c r="E109" s="26">
        <v>20.8</v>
      </c>
      <c r="F109" s="26">
        <v>83.3</v>
      </c>
      <c r="G109" s="26">
        <v>16.899999999999999</v>
      </c>
      <c r="H109" s="60">
        <v>91.2</v>
      </c>
      <c r="I109" s="60">
        <v>13.9</v>
      </c>
      <c r="J109" s="26">
        <v>97.2</v>
      </c>
      <c r="K109" s="26">
        <v>11.4</v>
      </c>
      <c r="L109" s="26">
        <v>102.3</v>
      </c>
      <c r="M109" s="26">
        <v>9.1999999999999993</v>
      </c>
      <c r="N109" s="26">
        <v>106.6</v>
      </c>
      <c r="O109" s="26">
        <v>7.4</v>
      </c>
      <c r="P109" s="26">
        <v>110.3</v>
      </c>
      <c r="R109" s="26">
        <f t="shared" si="2"/>
        <v>102.3</v>
      </c>
      <c r="S109" s="26">
        <v>125</v>
      </c>
      <c r="T109" s="32">
        <f t="shared" si="4"/>
        <v>14</v>
      </c>
    </row>
    <row r="110" spans="1:20" outlineLevel="1" x14ac:dyDescent="0.25">
      <c r="A110">
        <f t="shared" si="3"/>
        <v>13</v>
      </c>
      <c r="B110">
        <v>140</v>
      </c>
      <c r="C110" s="26">
        <v>28</v>
      </c>
      <c r="D110" s="26">
        <v>84</v>
      </c>
      <c r="E110" s="26">
        <v>23.3</v>
      </c>
      <c r="F110" s="26">
        <v>93.3</v>
      </c>
      <c r="G110" s="26">
        <v>18.899999999999999</v>
      </c>
      <c r="H110" s="60">
        <v>102.2</v>
      </c>
      <c r="I110" s="60">
        <v>15.6</v>
      </c>
      <c r="J110" s="26">
        <v>108.9</v>
      </c>
      <c r="K110" s="26">
        <v>12.7</v>
      </c>
      <c r="L110" s="26">
        <v>114.5</v>
      </c>
      <c r="M110" s="26">
        <v>10.3</v>
      </c>
      <c r="N110" s="26">
        <v>119.4</v>
      </c>
      <c r="O110" s="26">
        <v>8.1999999999999993</v>
      </c>
      <c r="P110" s="26">
        <v>123.5</v>
      </c>
      <c r="R110" s="26">
        <f t="shared" si="2"/>
        <v>114.5</v>
      </c>
      <c r="S110" s="26">
        <v>140</v>
      </c>
      <c r="T110" s="32">
        <f t="shared" si="4"/>
        <v>15</v>
      </c>
    </row>
    <row r="111" spans="1:20" outlineLevel="1" x14ac:dyDescent="0.25">
      <c r="A111">
        <f t="shared" si="3"/>
        <v>14</v>
      </c>
      <c r="B111">
        <v>160</v>
      </c>
      <c r="C111" s="26">
        <v>32</v>
      </c>
      <c r="D111" s="26">
        <v>96</v>
      </c>
      <c r="E111" s="26">
        <v>26.7</v>
      </c>
      <c r="F111" s="26">
        <v>106.7</v>
      </c>
      <c r="G111" s="26">
        <v>21.6</v>
      </c>
      <c r="H111" s="60">
        <v>116.8</v>
      </c>
      <c r="I111" s="60">
        <v>17.8</v>
      </c>
      <c r="J111" s="26">
        <v>124.4</v>
      </c>
      <c r="K111" s="26">
        <v>14.5</v>
      </c>
      <c r="L111" s="26">
        <v>130.9</v>
      </c>
      <c r="M111" s="26">
        <v>11.8</v>
      </c>
      <c r="N111" s="26">
        <v>136.5</v>
      </c>
      <c r="O111" s="26">
        <v>9.4</v>
      </c>
      <c r="P111" s="26">
        <v>141.19999999999999</v>
      </c>
      <c r="R111" s="26">
        <f t="shared" si="2"/>
        <v>130.9</v>
      </c>
      <c r="S111" s="26">
        <v>160</v>
      </c>
      <c r="T111" s="32">
        <f t="shared" si="4"/>
        <v>16</v>
      </c>
    </row>
    <row r="113" spans="2:3" s="13" customFormat="1" x14ac:dyDescent="0.25">
      <c r="B113" s="13" t="s">
        <v>171</v>
      </c>
    </row>
    <row r="114" spans="2:3" outlineLevel="1" x14ac:dyDescent="0.25"/>
    <row r="115" spans="2:3" outlineLevel="1" x14ac:dyDescent="0.25">
      <c r="B115" t="s">
        <v>207</v>
      </c>
      <c r="C115">
        <v>1.5E-3</v>
      </c>
    </row>
    <row r="116" spans="2:3" outlineLevel="1" x14ac:dyDescent="0.25">
      <c r="B116" t="s">
        <v>176</v>
      </c>
      <c r="C116">
        <v>1.5E-3</v>
      </c>
    </row>
    <row r="117" spans="2:3" outlineLevel="1" x14ac:dyDescent="0.25">
      <c r="B117" t="s">
        <v>175</v>
      </c>
      <c r="C117">
        <v>1.5E-3</v>
      </c>
    </row>
    <row r="118" spans="2:3" outlineLevel="1" x14ac:dyDescent="0.25">
      <c r="B118" t="s">
        <v>174</v>
      </c>
      <c r="C118">
        <v>1.5E-3</v>
      </c>
    </row>
    <row r="119" spans="2:3" outlineLevel="1" x14ac:dyDescent="0.25">
      <c r="B119" t="s">
        <v>173</v>
      </c>
      <c r="C119">
        <v>1.5E-3</v>
      </c>
    </row>
    <row r="120" spans="2:3" outlineLevel="1" x14ac:dyDescent="0.25">
      <c r="B120" t="s">
        <v>165</v>
      </c>
      <c r="C120">
        <v>1.5E-3</v>
      </c>
    </row>
    <row r="121" spans="2:3" outlineLevel="1" x14ac:dyDescent="0.25">
      <c r="B121" t="s">
        <v>167</v>
      </c>
      <c r="C121">
        <v>0.02</v>
      </c>
    </row>
    <row r="122" spans="2:3" outlineLevel="1" x14ac:dyDescent="0.25">
      <c r="B122" t="s">
        <v>172</v>
      </c>
      <c r="C122">
        <v>1.5E-3</v>
      </c>
    </row>
    <row r="123" spans="2:3" outlineLevel="1" x14ac:dyDescent="0.25">
      <c r="B123" t="s">
        <v>168</v>
      </c>
      <c r="C123">
        <v>0.1</v>
      </c>
    </row>
    <row r="124" spans="2:3" outlineLevel="1" x14ac:dyDescent="0.25">
      <c r="B124" t="s">
        <v>169</v>
      </c>
      <c r="C124">
        <v>0.5</v>
      </c>
    </row>
    <row r="125" spans="2:3" outlineLevel="1" x14ac:dyDescent="0.25">
      <c r="B125" t="s">
        <v>170</v>
      </c>
      <c r="C125">
        <v>10</v>
      </c>
    </row>
    <row r="132" spans="2:4" s="13" customFormat="1" x14ac:dyDescent="0.25">
      <c r="B132" s="13" t="s">
        <v>279</v>
      </c>
    </row>
    <row r="133" spans="2:4" x14ac:dyDescent="0.25">
      <c r="C133" s="32"/>
      <c r="D133" s="32"/>
    </row>
    <row r="134" spans="2:4" x14ac:dyDescent="0.25">
      <c r="C134" s="32"/>
      <c r="D134" s="32"/>
    </row>
    <row r="135" spans="2:4" x14ac:dyDescent="0.25">
      <c r="B135" s="14" t="s">
        <v>280</v>
      </c>
    </row>
    <row r="136" spans="2:4" x14ac:dyDescent="0.25">
      <c r="B136" s="14" t="s">
        <v>281</v>
      </c>
      <c r="C136" s="32" t="s">
        <v>282</v>
      </c>
      <c r="D136" s="32" t="s">
        <v>287</v>
      </c>
    </row>
    <row r="137" spans="2:4" x14ac:dyDescent="0.25">
      <c r="B137">
        <v>6</v>
      </c>
      <c r="C137" s="32">
        <f>B137-2</f>
        <v>4</v>
      </c>
      <c r="D137" s="32">
        <v>1</v>
      </c>
    </row>
    <row r="138" spans="2:4" x14ac:dyDescent="0.25">
      <c r="B138">
        <v>8</v>
      </c>
      <c r="C138" s="32">
        <f t="shared" ref="C138:C146" si="5">B138-2</f>
        <v>6</v>
      </c>
      <c r="D138" s="32">
        <v>2</v>
      </c>
    </row>
    <row r="139" spans="2:4" x14ac:dyDescent="0.25">
      <c r="B139">
        <v>10</v>
      </c>
      <c r="C139" s="32">
        <f t="shared" si="5"/>
        <v>8</v>
      </c>
      <c r="D139" s="32">
        <v>3</v>
      </c>
    </row>
    <row r="140" spans="2:4" x14ac:dyDescent="0.25">
      <c r="B140">
        <v>12</v>
      </c>
      <c r="C140" s="32">
        <f t="shared" si="5"/>
        <v>10</v>
      </c>
      <c r="D140" s="32">
        <v>4</v>
      </c>
    </row>
    <row r="141" spans="2:4" x14ac:dyDescent="0.25">
      <c r="B141">
        <v>15</v>
      </c>
      <c r="C141" s="32">
        <f t="shared" si="5"/>
        <v>13</v>
      </c>
      <c r="D141" s="32">
        <v>5</v>
      </c>
    </row>
    <row r="142" spans="2:4" x14ac:dyDescent="0.25">
      <c r="B142">
        <v>18</v>
      </c>
      <c r="C142" s="32">
        <f t="shared" si="5"/>
        <v>16</v>
      </c>
      <c r="D142" s="32">
        <v>6</v>
      </c>
    </row>
    <row r="143" spans="2:4" x14ac:dyDescent="0.25">
      <c r="B143">
        <v>22</v>
      </c>
      <c r="C143" s="32">
        <f t="shared" si="5"/>
        <v>20</v>
      </c>
      <c r="D143" s="32">
        <v>7</v>
      </c>
    </row>
    <row r="144" spans="2:4" x14ac:dyDescent="0.25">
      <c r="B144">
        <v>28</v>
      </c>
      <c r="C144" s="32">
        <f t="shared" si="5"/>
        <v>26</v>
      </c>
      <c r="D144" s="32">
        <v>8</v>
      </c>
    </row>
    <row r="145" spans="2:4" x14ac:dyDescent="0.25">
      <c r="B145">
        <v>35</v>
      </c>
      <c r="C145" s="32">
        <f t="shared" si="5"/>
        <v>33</v>
      </c>
      <c r="D145" s="32">
        <v>9</v>
      </c>
    </row>
    <row r="146" spans="2:4" x14ac:dyDescent="0.25">
      <c r="B146">
        <v>42</v>
      </c>
      <c r="C146" s="32">
        <f t="shared" si="5"/>
        <v>40</v>
      </c>
      <c r="D146" s="32">
        <v>10</v>
      </c>
    </row>
    <row r="161" spans="2:7" s="13" customFormat="1" x14ac:dyDescent="0.25">
      <c r="B161" s="13" t="s">
        <v>317</v>
      </c>
    </row>
    <row r="163" spans="2:7" x14ac:dyDescent="0.25">
      <c r="C163" s="32" t="s">
        <v>318</v>
      </c>
      <c r="F163" t="s">
        <v>319</v>
      </c>
      <c r="G163" s="25">
        <f>'Tramos AF'!A8</f>
        <v>1</v>
      </c>
    </row>
    <row r="164" spans="2:7" x14ac:dyDescent="0.25">
      <c r="B164">
        <v>1</v>
      </c>
      <c r="C164" s="32" t="str">
        <f>IF(B164&lt;G163,B164,"")</f>
        <v/>
      </c>
    </row>
    <row r="165" spans="2:7" x14ac:dyDescent="0.25">
      <c r="B165">
        <v>2</v>
      </c>
      <c r="C165" s="32" t="str">
        <f t="shared" ref="C165:C198" si="6">IF(B165&lt;G164,B165,"")</f>
        <v/>
      </c>
    </row>
    <row r="166" spans="2:7" x14ac:dyDescent="0.25">
      <c r="B166">
        <v>3</v>
      </c>
      <c r="C166" s="32" t="str">
        <f t="shared" si="6"/>
        <v/>
      </c>
    </row>
    <row r="167" spans="2:7" x14ac:dyDescent="0.25">
      <c r="B167">
        <v>4</v>
      </c>
      <c r="C167" s="32" t="str">
        <f t="shared" si="6"/>
        <v/>
      </c>
    </row>
    <row r="168" spans="2:7" x14ac:dyDescent="0.25">
      <c r="B168">
        <v>5</v>
      </c>
      <c r="C168" s="32" t="str">
        <f t="shared" si="6"/>
        <v/>
      </c>
    </row>
    <row r="169" spans="2:7" x14ac:dyDescent="0.25">
      <c r="B169">
        <v>6</v>
      </c>
      <c r="C169" s="32" t="str">
        <f t="shared" si="6"/>
        <v/>
      </c>
    </row>
    <row r="170" spans="2:7" x14ac:dyDescent="0.25">
      <c r="B170">
        <v>7</v>
      </c>
      <c r="C170" s="32" t="str">
        <f t="shared" si="6"/>
        <v/>
      </c>
    </row>
    <row r="171" spans="2:7" x14ac:dyDescent="0.25">
      <c r="B171">
        <v>8</v>
      </c>
      <c r="C171" s="32" t="str">
        <f t="shared" si="6"/>
        <v/>
      </c>
    </row>
    <row r="172" spans="2:7" x14ac:dyDescent="0.25">
      <c r="B172">
        <v>9</v>
      </c>
      <c r="C172" s="32" t="str">
        <f t="shared" si="6"/>
        <v/>
      </c>
    </row>
    <row r="173" spans="2:7" x14ac:dyDescent="0.25">
      <c r="B173">
        <v>10</v>
      </c>
      <c r="C173" s="32" t="str">
        <f t="shared" si="6"/>
        <v/>
      </c>
    </row>
    <row r="174" spans="2:7" x14ac:dyDescent="0.25">
      <c r="B174">
        <v>11</v>
      </c>
      <c r="C174" s="32" t="str">
        <f t="shared" si="6"/>
        <v/>
      </c>
    </row>
    <row r="175" spans="2:7" x14ac:dyDescent="0.25">
      <c r="B175">
        <v>12</v>
      </c>
      <c r="C175" s="32" t="str">
        <f t="shared" si="6"/>
        <v/>
      </c>
    </row>
    <row r="176" spans="2:7" x14ac:dyDescent="0.25">
      <c r="B176">
        <v>13</v>
      </c>
      <c r="C176" s="32" t="str">
        <f t="shared" si="6"/>
        <v/>
      </c>
    </row>
    <row r="177" spans="2:3" x14ac:dyDescent="0.25">
      <c r="B177">
        <v>14</v>
      </c>
      <c r="C177" s="32" t="str">
        <f t="shared" si="6"/>
        <v/>
      </c>
    </row>
    <row r="178" spans="2:3" x14ac:dyDescent="0.25">
      <c r="B178">
        <v>15</v>
      </c>
      <c r="C178" s="32" t="str">
        <f t="shared" si="6"/>
        <v/>
      </c>
    </row>
    <row r="179" spans="2:3" x14ac:dyDescent="0.25">
      <c r="B179">
        <v>16</v>
      </c>
      <c r="C179" s="32" t="str">
        <f t="shared" si="6"/>
        <v/>
      </c>
    </row>
    <row r="180" spans="2:3" x14ac:dyDescent="0.25">
      <c r="B180">
        <v>17</v>
      </c>
      <c r="C180" s="32" t="str">
        <f t="shared" si="6"/>
        <v/>
      </c>
    </row>
    <row r="181" spans="2:3" x14ac:dyDescent="0.25">
      <c r="B181">
        <v>18</v>
      </c>
      <c r="C181" s="32" t="str">
        <f t="shared" si="6"/>
        <v/>
      </c>
    </row>
    <row r="182" spans="2:3" x14ac:dyDescent="0.25">
      <c r="B182">
        <v>19</v>
      </c>
      <c r="C182" s="32" t="str">
        <f t="shared" si="6"/>
        <v/>
      </c>
    </row>
    <row r="183" spans="2:3" x14ac:dyDescent="0.25">
      <c r="B183">
        <v>20</v>
      </c>
      <c r="C183" s="32" t="str">
        <f t="shared" si="6"/>
        <v/>
      </c>
    </row>
    <row r="184" spans="2:3" x14ac:dyDescent="0.25">
      <c r="B184">
        <v>21</v>
      </c>
      <c r="C184" s="32" t="str">
        <f t="shared" si="6"/>
        <v/>
      </c>
    </row>
    <row r="185" spans="2:3" x14ac:dyDescent="0.25">
      <c r="B185">
        <v>22</v>
      </c>
      <c r="C185" s="32" t="str">
        <f t="shared" si="6"/>
        <v/>
      </c>
    </row>
    <row r="186" spans="2:3" x14ac:dyDescent="0.25">
      <c r="B186">
        <v>23</v>
      </c>
      <c r="C186" s="32" t="str">
        <f t="shared" si="6"/>
        <v/>
      </c>
    </row>
    <row r="187" spans="2:3" x14ac:dyDescent="0.25">
      <c r="B187">
        <v>24</v>
      </c>
      <c r="C187" s="32" t="str">
        <f t="shared" si="6"/>
        <v/>
      </c>
    </row>
    <row r="188" spans="2:3" x14ac:dyDescent="0.25">
      <c r="B188">
        <v>25</v>
      </c>
      <c r="C188" s="32" t="str">
        <f t="shared" si="6"/>
        <v/>
      </c>
    </row>
    <row r="189" spans="2:3" x14ac:dyDescent="0.25">
      <c r="B189">
        <v>26</v>
      </c>
      <c r="C189" s="32" t="str">
        <f t="shared" si="6"/>
        <v/>
      </c>
    </row>
    <row r="190" spans="2:3" x14ac:dyDescent="0.25">
      <c r="B190">
        <v>27</v>
      </c>
      <c r="C190" s="32" t="str">
        <f t="shared" si="6"/>
        <v/>
      </c>
    </row>
    <row r="191" spans="2:3" x14ac:dyDescent="0.25">
      <c r="B191">
        <v>28</v>
      </c>
      <c r="C191" s="32" t="str">
        <f t="shared" si="6"/>
        <v/>
      </c>
    </row>
    <row r="192" spans="2:3" x14ac:dyDescent="0.25">
      <c r="B192">
        <v>29</v>
      </c>
      <c r="C192" s="32" t="str">
        <f t="shared" si="6"/>
        <v/>
      </c>
    </row>
    <row r="193" spans="2:4" x14ac:dyDescent="0.25">
      <c r="B193">
        <v>30</v>
      </c>
      <c r="C193" s="32" t="str">
        <f t="shared" si="6"/>
        <v/>
      </c>
    </row>
    <row r="194" spans="2:4" x14ac:dyDescent="0.25">
      <c r="B194">
        <v>31</v>
      </c>
      <c r="C194" s="32" t="str">
        <f t="shared" si="6"/>
        <v/>
      </c>
    </row>
    <row r="195" spans="2:4" x14ac:dyDescent="0.25">
      <c r="B195">
        <v>32</v>
      </c>
      <c r="C195" s="32" t="str">
        <f t="shared" si="6"/>
        <v/>
      </c>
    </row>
    <row r="196" spans="2:4" x14ac:dyDescent="0.25">
      <c r="B196">
        <v>33</v>
      </c>
      <c r="C196" s="32" t="str">
        <f t="shared" si="6"/>
        <v/>
      </c>
    </row>
    <row r="197" spans="2:4" x14ac:dyDescent="0.25">
      <c r="B197">
        <v>34</v>
      </c>
      <c r="C197" s="32" t="str">
        <f t="shared" si="6"/>
        <v/>
      </c>
    </row>
    <row r="198" spans="2:4" x14ac:dyDescent="0.25">
      <c r="B198">
        <v>35</v>
      </c>
      <c r="C198" s="32" t="str">
        <f t="shared" si="6"/>
        <v/>
      </c>
    </row>
    <row r="200" spans="2:4" s="13" customFormat="1" x14ac:dyDescent="0.25">
      <c r="B200" s="13" t="s">
        <v>360</v>
      </c>
    </row>
    <row r="202" spans="2:4" x14ac:dyDescent="0.25">
      <c r="C202" s="501" t="s">
        <v>348</v>
      </c>
      <c r="D202" s="501"/>
    </row>
    <row r="203" spans="2:4" x14ac:dyDescent="0.25">
      <c r="B203" s="14" t="s">
        <v>361</v>
      </c>
      <c r="C203" s="32" t="s">
        <v>359</v>
      </c>
      <c r="D203" s="32" t="s">
        <v>362</v>
      </c>
    </row>
    <row r="204" spans="2:4" x14ac:dyDescent="0.25">
      <c r="B204">
        <v>0</v>
      </c>
      <c r="C204" s="32">
        <v>30</v>
      </c>
      <c r="D204" s="32">
        <v>40</v>
      </c>
    </row>
    <row r="205" spans="2:4" x14ac:dyDescent="0.25">
      <c r="B205">
        <v>36</v>
      </c>
      <c r="C205" s="32">
        <v>35</v>
      </c>
      <c r="D205" s="32">
        <v>45</v>
      </c>
    </row>
    <row r="206" spans="2:4" x14ac:dyDescent="0.25">
      <c r="B206">
        <v>61</v>
      </c>
      <c r="C206" s="32">
        <v>35</v>
      </c>
      <c r="D206" s="32">
        <v>45</v>
      </c>
    </row>
    <row r="207" spans="2:4" x14ac:dyDescent="0.25">
      <c r="B207">
        <v>91</v>
      </c>
      <c r="C207" s="32">
        <v>35</v>
      </c>
      <c r="D207" s="32">
        <v>45</v>
      </c>
    </row>
    <row r="208" spans="2:4" x14ac:dyDescent="0.25">
      <c r="B208">
        <v>141</v>
      </c>
      <c r="C208" s="32">
        <v>40</v>
      </c>
      <c r="D208" s="32">
        <v>50</v>
      </c>
    </row>
    <row r="210" spans="2:7" x14ac:dyDescent="0.25">
      <c r="C210" t="s">
        <v>363</v>
      </c>
    </row>
    <row r="211" spans="2:7" x14ac:dyDescent="0.25">
      <c r="B211" t="s">
        <v>364</v>
      </c>
      <c r="C211" s="26">
        <v>30</v>
      </c>
      <c r="D211" s="26">
        <v>35</v>
      </c>
      <c r="E211" s="26">
        <v>40</v>
      </c>
      <c r="F211" s="26">
        <v>45</v>
      </c>
      <c r="G211" s="26">
        <v>50</v>
      </c>
    </row>
    <row r="212" spans="2:7" x14ac:dyDescent="0.25">
      <c r="B212" s="323">
        <v>12</v>
      </c>
      <c r="C212" s="26">
        <v>4.3</v>
      </c>
      <c r="D212" s="26">
        <f>(C212+E212)/2</f>
        <v>4.05</v>
      </c>
      <c r="E212" s="26">
        <v>3.8</v>
      </c>
      <c r="F212" s="26">
        <f t="shared" ref="F212:F225" si="7">(E212+G212)/2</f>
        <v>3.5999999999999996</v>
      </c>
      <c r="G212" s="26">
        <f>3.4</f>
        <v>3.4</v>
      </c>
    </row>
    <row r="213" spans="2:7" x14ac:dyDescent="0.25">
      <c r="B213" s="323">
        <v>16</v>
      </c>
      <c r="C213" s="26">
        <v>4.3</v>
      </c>
      <c r="D213" s="26">
        <f>(C213+E213)/2</f>
        <v>4.05</v>
      </c>
      <c r="E213" s="26">
        <v>3.8</v>
      </c>
      <c r="F213" s="26">
        <f t="shared" si="7"/>
        <v>3.5999999999999996</v>
      </c>
      <c r="G213" s="26">
        <f>3.4</f>
        <v>3.4</v>
      </c>
    </row>
    <row r="214" spans="2:7" x14ac:dyDescent="0.25">
      <c r="B214" s="323">
        <v>20</v>
      </c>
      <c r="C214" s="26">
        <v>4.8</v>
      </c>
      <c r="D214" s="26">
        <f t="shared" ref="D214:D225" si="8">(C214+E214)/2</f>
        <v>4.5</v>
      </c>
      <c r="E214" s="26">
        <v>4.2</v>
      </c>
      <c r="F214" s="26">
        <f t="shared" si="7"/>
        <v>4</v>
      </c>
      <c r="G214" s="26">
        <v>3.8</v>
      </c>
    </row>
    <row r="215" spans="2:7" x14ac:dyDescent="0.25">
      <c r="B215" s="323">
        <v>25</v>
      </c>
      <c r="C215" s="26">
        <v>5.5</v>
      </c>
      <c r="D215" s="26">
        <f t="shared" si="8"/>
        <v>5.0999999999999996</v>
      </c>
      <c r="E215" s="26">
        <v>4.7</v>
      </c>
      <c r="F215" s="26">
        <f t="shared" si="7"/>
        <v>4.5</v>
      </c>
      <c r="G215" s="26">
        <v>4.3</v>
      </c>
    </row>
    <row r="216" spans="2:7" x14ac:dyDescent="0.25">
      <c r="B216" s="323">
        <v>32</v>
      </c>
      <c r="C216" s="26">
        <v>6.3</v>
      </c>
      <c r="D216" s="26">
        <f t="shared" si="8"/>
        <v>5.85</v>
      </c>
      <c r="E216" s="26">
        <v>5.4</v>
      </c>
      <c r="F216" s="26">
        <f t="shared" si="7"/>
        <v>5.0999999999999996</v>
      </c>
      <c r="G216" s="26">
        <v>4.8</v>
      </c>
    </row>
    <row r="217" spans="2:7" x14ac:dyDescent="0.25">
      <c r="B217" s="323">
        <v>40</v>
      </c>
      <c r="C217" s="26">
        <v>7.2</v>
      </c>
      <c r="D217" s="26">
        <f t="shared" si="8"/>
        <v>6.65</v>
      </c>
      <c r="E217" s="26">
        <v>6.1</v>
      </c>
      <c r="F217" s="26">
        <f t="shared" si="7"/>
        <v>5.75</v>
      </c>
      <c r="G217" s="26">
        <v>5.4</v>
      </c>
    </row>
    <row r="218" spans="2:7" x14ac:dyDescent="0.25">
      <c r="B218" s="323">
        <v>50</v>
      </c>
      <c r="C218" s="26">
        <v>7.9</v>
      </c>
      <c r="D218" s="26">
        <f t="shared" si="8"/>
        <v>7.3000000000000007</v>
      </c>
      <c r="E218" s="26">
        <v>6.7</v>
      </c>
      <c r="F218" s="26">
        <f t="shared" si="7"/>
        <v>6.3000000000000007</v>
      </c>
      <c r="G218" s="26">
        <v>5.9</v>
      </c>
    </row>
    <row r="219" spans="2:7" x14ac:dyDescent="0.25">
      <c r="B219" s="323">
        <v>63</v>
      </c>
      <c r="C219" s="26">
        <v>9.1</v>
      </c>
      <c r="D219" s="26">
        <f t="shared" si="8"/>
        <v>8.35</v>
      </c>
      <c r="E219" s="26">
        <v>7.6</v>
      </c>
      <c r="F219" s="26">
        <f t="shared" si="7"/>
        <v>7.15</v>
      </c>
      <c r="G219" s="26">
        <v>6.7</v>
      </c>
    </row>
    <row r="220" spans="2:7" x14ac:dyDescent="0.25">
      <c r="B220" s="323">
        <v>75</v>
      </c>
      <c r="C220" s="26">
        <v>10.8</v>
      </c>
      <c r="D220" s="26">
        <f t="shared" si="8"/>
        <v>9.8500000000000014</v>
      </c>
      <c r="E220" s="26">
        <v>8.9</v>
      </c>
      <c r="F220" s="26">
        <f t="shared" si="7"/>
        <v>8.35</v>
      </c>
      <c r="G220" s="26">
        <v>7.8</v>
      </c>
    </row>
    <row r="221" spans="2:7" x14ac:dyDescent="0.25">
      <c r="B221" s="323">
        <v>90</v>
      </c>
      <c r="C221" s="26">
        <v>12.2</v>
      </c>
      <c r="D221" s="26">
        <f t="shared" si="8"/>
        <v>11.149999999999999</v>
      </c>
      <c r="E221" s="26">
        <v>10.1</v>
      </c>
      <c r="F221" s="26">
        <f t="shared" si="7"/>
        <v>9.3999999999999986</v>
      </c>
      <c r="G221" s="26">
        <v>8.6999999999999993</v>
      </c>
    </row>
    <row r="222" spans="2:7" x14ac:dyDescent="0.25">
      <c r="B222" s="323">
        <v>110</v>
      </c>
      <c r="C222" s="26">
        <v>13.5</v>
      </c>
      <c r="D222" s="26">
        <f t="shared" si="8"/>
        <v>12.25</v>
      </c>
      <c r="E222" s="26">
        <v>11</v>
      </c>
      <c r="F222" s="26">
        <f t="shared" si="7"/>
        <v>10.25</v>
      </c>
      <c r="G222" s="26">
        <v>9.5</v>
      </c>
    </row>
    <row r="223" spans="2:7" x14ac:dyDescent="0.25">
      <c r="B223" s="323">
        <v>125</v>
      </c>
      <c r="C223" s="26">
        <v>14.7</v>
      </c>
      <c r="D223" s="26">
        <f t="shared" si="8"/>
        <v>13.35</v>
      </c>
      <c r="E223" s="26">
        <v>12</v>
      </c>
      <c r="F223" s="26">
        <f t="shared" si="7"/>
        <v>11.1</v>
      </c>
      <c r="G223" s="26">
        <v>10.199999999999999</v>
      </c>
    </row>
    <row r="224" spans="2:7" x14ac:dyDescent="0.25">
      <c r="B224" s="323">
        <v>140</v>
      </c>
      <c r="C224" s="26">
        <v>17.2</v>
      </c>
      <c r="D224" s="26">
        <f t="shared" si="8"/>
        <v>15.6</v>
      </c>
      <c r="E224" s="26">
        <v>14</v>
      </c>
      <c r="F224" s="26">
        <f t="shared" si="7"/>
        <v>12.95</v>
      </c>
      <c r="G224" s="26">
        <v>11.9</v>
      </c>
    </row>
    <row r="225" spans="2:11" x14ac:dyDescent="0.25">
      <c r="B225" s="323">
        <v>160</v>
      </c>
      <c r="C225" s="26">
        <v>19.600000000000001</v>
      </c>
      <c r="D225" s="26">
        <f t="shared" si="8"/>
        <v>17.75</v>
      </c>
      <c r="E225" s="26">
        <v>15.9</v>
      </c>
      <c r="F225" s="26">
        <f t="shared" si="7"/>
        <v>14.7</v>
      </c>
      <c r="G225" s="26">
        <v>13.5</v>
      </c>
    </row>
    <row r="227" spans="2:11" s="13" customFormat="1" x14ac:dyDescent="0.25">
      <c r="B227" s="13" t="s">
        <v>365</v>
      </c>
    </row>
    <row r="229" spans="2:11" x14ac:dyDescent="0.25">
      <c r="B229" s="14" t="s">
        <v>366</v>
      </c>
      <c r="C229" s="32" t="s">
        <v>26</v>
      </c>
      <c r="D229" s="32" t="s">
        <v>77</v>
      </c>
    </row>
    <row r="230" spans="2:11" x14ac:dyDescent="0.25">
      <c r="B230">
        <v>16</v>
      </c>
      <c r="C230" s="32">
        <v>140</v>
      </c>
      <c r="D230" s="33">
        <f t="shared" ref="D230:D235" si="9">C230/3600</f>
        <v>3.888888888888889E-2</v>
      </c>
      <c r="E230" s="25">
        <v>16</v>
      </c>
    </row>
    <row r="231" spans="2:11" x14ac:dyDescent="0.25">
      <c r="B231">
        <v>20</v>
      </c>
      <c r="C231" s="32">
        <v>300</v>
      </c>
      <c r="D231" s="33">
        <f t="shared" si="9"/>
        <v>8.3333333333333329E-2</v>
      </c>
      <c r="E231" s="25">
        <v>20</v>
      </c>
    </row>
    <row r="232" spans="2:11" x14ac:dyDescent="0.25">
      <c r="B232">
        <v>25</v>
      </c>
      <c r="C232" s="32">
        <v>600</v>
      </c>
      <c r="D232" s="33">
        <f t="shared" si="9"/>
        <v>0.16666666666666666</v>
      </c>
      <c r="E232" s="25">
        <v>25</v>
      </c>
    </row>
    <row r="233" spans="2:11" x14ac:dyDescent="0.25">
      <c r="B233">
        <v>32</v>
      </c>
      <c r="C233" s="32">
        <v>1100</v>
      </c>
      <c r="D233" s="33">
        <f t="shared" si="9"/>
        <v>0.30555555555555558</v>
      </c>
      <c r="E233" s="25">
        <v>32</v>
      </c>
    </row>
    <row r="234" spans="2:11" x14ac:dyDescent="0.25">
      <c r="B234">
        <v>40</v>
      </c>
      <c r="C234" s="32">
        <v>1800</v>
      </c>
      <c r="D234" s="33">
        <f t="shared" si="9"/>
        <v>0.5</v>
      </c>
      <c r="E234" s="25">
        <v>40</v>
      </c>
    </row>
    <row r="235" spans="2:11" x14ac:dyDescent="0.25">
      <c r="B235">
        <v>50</v>
      </c>
      <c r="C235" s="32">
        <v>3300</v>
      </c>
      <c r="D235" s="33">
        <f t="shared" si="9"/>
        <v>0.91666666666666663</v>
      </c>
      <c r="E235" s="25">
        <v>50</v>
      </c>
    </row>
    <row r="237" spans="2:11" s="13" customFormat="1" x14ac:dyDescent="0.25">
      <c r="B237" s="13" t="s">
        <v>401</v>
      </c>
    </row>
    <row r="239" spans="2:11" x14ac:dyDescent="0.25">
      <c r="C239" s="386"/>
      <c r="I239" s="32"/>
      <c r="J239" s="32"/>
      <c r="K239" s="32"/>
    </row>
    <row r="240" spans="2:11" x14ac:dyDescent="0.25">
      <c r="I240" s="32"/>
      <c r="J240" s="32"/>
      <c r="K240" s="32"/>
    </row>
    <row r="241" spans="9:11" x14ac:dyDescent="0.25">
      <c r="I241" s="32"/>
      <c r="J241" s="32"/>
      <c r="K241" s="32"/>
    </row>
    <row r="242" spans="9:11" x14ac:dyDescent="0.25">
      <c r="I242" s="32"/>
      <c r="J242" s="32"/>
      <c r="K242" s="32"/>
    </row>
    <row r="243" spans="9:11" x14ac:dyDescent="0.25">
      <c r="I243" s="32"/>
      <c r="J243" s="32"/>
      <c r="K243" s="32"/>
    </row>
    <row r="244" spans="9:11" x14ac:dyDescent="0.25">
      <c r="I244" s="32"/>
      <c r="J244" s="32"/>
      <c r="K244" s="32"/>
    </row>
    <row r="245" spans="9:11" x14ac:dyDescent="0.25">
      <c r="I245" s="32"/>
      <c r="J245" s="32"/>
      <c r="K245" s="32"/>
    </row>
    <row r="246" spans="9:11" x14ac:dyDescent="0.25">
      <c r="I246" s="32"/>
      <c r="J246" s="32"/>
      <c r="K246" s="32"/>
    </row>
    <row r="247" spans="9:11" x14ac:dyDescent="0.25">
      <c r="I247" s="32"/>
      <c r="J247" s="32"/>
      <c r="K247" s="32"/>
    </row>
    <row r="248" spans="9:11" x14ac:dyDescent="0.25">
      <c r="I248" s="32"/>
      <c r="J248" s="32"/>
      <c r="K248" s="32"/>
    </row>
    <row r="249" spans="9:11" x14ac:dyDescent="0.25">
      <c r="I249" s="32"/>
      <c r="J249" s="32"/>
      <c r="K249" s="32"/>
    </row>
    <row r="250" spans="9:11" x14ac:dyDescent="0.25">
      <c r="I250" s="32"/>
      <c r="J250" s="32"/>
      <c r="K250" s="32"/>
    </row>
    <row r="251" spans="9:11" x14ac:dyDescent="0.25">
      <c r="I251" s="32"/>
      <c r="J251" s="32"/>
      <c r="K251" s="32"/>
    </row>
    <row r="252" spans="9:11" x14ac:dyDescent="0.25">
      <c r="I252" s="32"/>
      <c r="J252" s="32"/>
      <c r="K252" s="32"/>
    </row>
    <row r="253" spans="9:11" x14ac:dyDescent="0.25">
      <c r="I253" s="32"/>
      <c r="J253" s="32"/>
      <c r="K253" s="32"/>
    </row>
    <row r="254" spans="9:11" x14ac:dyDescent="0.25">
      <c r="I254" s="32"/>
      <c r="J254" s="32"/>
      <c r="K254" s="32"/>
    </row>
    <row r="255" spans="9:11" x14ac:dyDescent="0.25">
      <c r="I255" s="32"/>
      <c r="J255" s="32"/>
      <c r="K255" s="32"/>
    </row>
    <row r="256" spans="9:11" x14ac:dyDescent="0.25">
      <c r="I256" s="32"/>
      <c r="J256" s="32"/>
      <c r="K256" s="32"/>
    </row>
    <row r="257" spans="9:11" x14ac:dyDescent="0.25">
      <c r="I257" s="32"/>
      <c r="J257" s="32"/>
      <c r="K257" s="32"/>
    </row>
    <row r="258" spans="9:11" x14ac:dyDescent="0.25">
      <c r="I258" s="32"/>
      <c r="J258" s="32"/>
      <c r="K258" s="32"/>
    </row>
    <row r="259" spans="9:11" x14ac:dyDescent="0.25">
      <c r="I259" s="32"/>
      <c r="J259" s="32"/>
      <c r="K259" s="32"/>
    </row>
    <row r="260" spans="9:11" x14ac:dyDescent="0.25">
      <c r="I260" s="32"/>
      <c r="J260" s="32"/>
      <c r="K260" s="32"/>
    </row>
    <row r="261" spans="9:11" x14ac:dyDescent="0.25">
      <c r="I261" s="32"/>
      <c r="J261" s="32"/>
      <c r="K261" s="32"/>
    </row>
    <row r="262" spans="9:11" x14ac:dyDescent="0.25">
      <c r="I262" s="32"/>
      <c r="J262" s="32"/>
      <c r="K262" s="32"/>
    </row>
    <row r="263" spans="9:11" x14ac:dyDescent="0.25">
      <c r="I263" s="32"/>
      <c r="J263" s="32"/>
      <c r="K263" s="32"/>
    </row>
  </sheetData>
  <mergeCells count="13">
    <mergeCell ref="C202:D202"/>
    <mergeCell ref="T29:U29"/>
    <mergeCell ref="C42:D42"/>
    <mergeCell ref="F42:G42"/>
    <mergeCell ref="I42:J42"/>
    <mergeCell ref="L42:M42"/>
    <mergeCell ref="R96:S96"/>
    <mergeCell ref="R95:S95"/>
    <mergeCell ref="O42:P42"/>
    <mergeCell ref="H29:I29"/>
    <mergeCell ref="K29:L29"/>
    <mergeCell ref="N29:O29"/>
    <mergeCell ref="Q29:R2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theme="1" tint="0.499984740745262"/>
  </sheetPr>
  <dimension ref="B2:F44"/>
  <sheetViews>
    <sheetView view="pageBreakPreview" zoomScale="96" zoomScaleNormal="100" zoomScaleSheetLayoutView="96" workbookViewId="0">
      <selection activeCell="F23" sqref="F22:F23"/>
    </sheetView>
  </sheetViews>
  <sheetFormatPr baseColWidth="10" defaultRowHeight="12.75" x14ac:dyDescent="0.2"/>
  <cols>
    <col min="1" max="1" width="5.7109375" style="390" customWidth="1"/>
    <col min="2" max="2" width="25.7109375" style="390" customWidth="1"/>
    <col min="3" max="3" width="50.7109375" style="390" customWidth="1"/>
    <col min="4" max="6" width="11.42578125" style="391"/>
    <col min="7" max="7" width="5.7109375" style="390" customWidth="1"/>
    <col min="8" max="16384" width="11.42578125" style="390"/>
  </cols>
  <sheetData>
    <row r="2" spans="2:6" x14ac:dyDescent="0.2">
      <c r="B2" s="392" t="s">
        <v>395</v>
      </c>
      <c r="C2" s="504" t="s">
        <v>421</v>
      </c>
      <c r="D2" s="504"/>
      <c r="E2" s="504"/>
      <c r="F2" s="504"/>
    </row>
    <row r="4" spans="2:6" ht="13.5" thickBot="1" x14ac:dyDescent="0.25">
      <c r="B4" s="505" t="s">
        <v>400</v>
      </c>
      <c r="C4" s="505"/>
      <c r="D4" s="505"/>
      <c r="E4" s="505"/>
      <c r="F4" s="505"/>
    </row>
    <row r="5" spans="2:6" ht="3" customHeight="1" x14ac:dyDescent="0.2"/>
    <row r="6" spans="2:6" x14ac:dyDescent="0.2">
      <c r="B6" s="390" t="str">
        <f>'Consumos TIPO'!C46</f>
        <v>Termoplastico</v>
      </c>
      <c r="C6" s="390" t="str">
        <f>'Consumos TIPO'!D12</f>
        <v>serie 5</v>
      </c>
      <c r="D6" s="393" t="s">
        <v>397</v>
      </c>
      <c r="E6" s="393" t="s">
        <v>398</v>
      </c>
      <c r="F6" s="393" t="s">
        <v>399</v>
      </c>
    </row>
    <row r="7" spans="2:6" ht="3" customHeight="1" x14ac:dyDescent="0.2"/>
    <row r="8" spans="2:6" x14ac:dyDescent="0.2">
      <c r="B8" s="392" t="str">
        <f>'Consumos TIPO'!H9</f>
        <v>VIVIENDA TIPO A</v>
      </c>
      <c r="C8" s="392" t="str">
        <f>'Consumos TIPO'!D19</f>
        <v>Cocina + 2 baños (ducha + bañera)</v>
      </c>
      <c r="D8" s="394">
        <f>'Consumos TIPO'!E42</f>
        <v>0.71438211691005526</v>
      </c>
      <c r="E8" s="395">
        <f>'Consumos TIPO'!E46</f>
        <v>25</v>
      </c>
      <c r="F8" s="394">
        <f>'Consumos TIPO'!E48</f>
        <v>2.1643722410798238</v>
      </c>
    </row>
    <row r="9" spans="2:6" x14ac:dyDescent="0.2">
      <c r="B9" s="392" t="str">
        <f>'Consumos TIPO'!H10</f>
        <v>VIVIENDA TIPO B</v>
      </c>
      <c r="C9" s="392" t="str">
        <f>'Consumos TIPO'!J19</f>
        <v>Duplex Cocina + 3 baños (2xducha + bañera)</v>
      </c>
      <c r="D9" s="394">
        <f>'Consumos TIPO'!K42</f>
        <v>0.80097388865672869</v>
      </c>
      <c r="E9" s="395">
        <f>'Consumos TIPO'!K46</f>
        <v>25</v>
      </c>
      <c r="F9" s="394">
        <f>'Consumos TIPO'!K48</f>
        <v>2.4267203915137419</v>
      </c>
    </row>
    <row r="10" spans="2:6" x14ac:dyDescent="0.2">
      <c r="B10" s="392" t="str">
        <f>'Consumos TIPO'!H11</f>
        <v>VIVIENDA TIPO C</v>
      </c>
      <c r="C10" s="392" t="str">
        <f>'Consumos TIPO'!O19</f>
        <v>Cocina + 2 baños (ducha + bañera) + aseo</v>
      </c>
      <c r="D10" s="394">
        <f>'Consumos TIPO'!P42</f>
        <v>0.80097388865672869</v>
      </c>
      <c r="E10" s="395">
        <f>'Consumos TIPO'!P46</f>
        <v>25</v>
      </c>
      <c r="F10" s="394">
        <f>'Consumos TIPO'!P48</f>
        <v>2.4267203915137419</v>
      </c>
    </row>
    <row r="11" spans="2:6" x14ac:dyDescent="0.2">
      <c r="B11" s="392" t="str">
        <f>'Consumos TIPO'!H12</f>
        <v>VIVIENDA TIPO D</v>
      </c>
      <c r="C11" s="392" t="str">
        <f>'Consumos TIPO'!T19</f>
        <v>Cocina + 3 baños (2 duchas + bañera)</v>
      </c>
      <c r="D11" s="394">
        <f>'Consumos TIPO'!U42</f>
        <v>0.93086154627673878</v>
      </c>
      <c r="E11" s="395">
        <f>'Consumos TIPO'!U46</f>
        <v>25</v>
      </c>
      <c r="F11" s="394">
        <f>'Consumos TIPO'!U48</f>
        <v>2.8202426171646189</v>
      </c>
    </row>
    <row r="12" spans="2:6" x14ac:dyDescent="0.2">
      <c r="B12" s="392" t="str">
        <f>'Consumos TIPO'!H13</f>
        <v>VIVIENDA TIPO E</v>
      </c>
      <c r="C12" s="392" t="str">
        <f>'Consumos TIPO'!Y19</f>
        <v>Cocina + 1 baño</v>
      </c>
      <c r="D12" s="394">
        <f>'Consumos TIPO'!Z42</f>
        <v>0.49790268754337197</v>
      </c>
      <c r="E12" s="395">
        <f>'Consumos TIPO'!Z46</f>
        <v>20</v>
      </c>
      <c r="F12" s="394">
        <f>'Consumos TIPO'!Z48</f>
        <v>2.357034164054733</v>
      </c>
    </row>
    <row r="13" spans="2:6" ht="5.0999999999999996" customHeight="1" x14ac:dyDescent="0.2"/>
    <row r="14" spans="2:6" x14ac:dyDescent="0.2">
      <c r="C14" s="392" t="str">
        <f>'Consumos TIPO'!O9</f>
        <v>Basuras + Baldeo</v>
      </c>
      <c r="D14" s="394">
        <f>'Consumos TIPO'!P9</f>
        <v>0.2</v>
      </c>
      <c r="E14" s="393">
        <f>'Consumos TIPO'!R9</f>
        <v>16</v>
      </c>
      <c r="F14" s="394">
        <f>'Consumos TIPO'!Z9</f>
        <v>1.483872230469337</v>
      </c>
    </row>
    <row r="15" spans="2:6" x14ac:dyDescent="0.2">
      <c r="C15" s="392" t="str">
        <f>'Consumos TIPO'!O10</f>
        <v>Riego</v>
      </c>
      <c r="D15" s="394">
        <f>'Consumos TIPO'!P10</f>
        <v>1</v>
      </c>
      <c r="E15" s="393">
        <f>'Consumos TIPO'!R10</f>
        <v>32</v>
      </c>
      <c r="F15" s="394">
        <f>'Consumos TIPO'!Z10</f>
        <v>1.8548402880866712</v>
      </c>
    </row>
    <row r="16" spans="2:6" x14ac:dyDescent="0.2">
      <c r="C16" s="392" t="str">
        <f>'Consumos TIPO'!O11</f>
        <v>Sala Solar</v>
      </c>
      <c r="D16" s="394">
        <f>'Consumos TIPO'!P11</f>
        <v>2.8506823718817231</v>
      </c>
      <c r="E16" s="393">
        <f>'Consumos TIPO'!R11</f>
        <v>50</v>
      </c>
      <c r="F16" s="394">
        <f>'Consumos TIPO'!Z11</f>
        <v>2.1697580943393784</v>
      </c>
    </row>
    <row r="17" spans="2:6" x14ac:dyDescent="0.2">
      <c r="C17" s="392" t="str">
        <f>'Consumos TIPO'!O12</f>
        <v>Piscina</v>
      </c>
      <c r="D17" s="394">
        <f>'Consumos TIPO'!P12</f>
        <v>2</v>
      </c>
      <c r="E17" s="393">
        <f>'Consumos TIPO'!R12</f>
        <v>40</v>
      </c>
      <c r="F17" s="394">
        <f>'Consumos TIPO'!Z12</f>
        <v>2.381461656527629</v>
      </c>
    </row>
    <row r="18" spans="2:6" x14ac:dyDescent="0.2">
      <c r="C18" s="392" t="str">
        <f>'Consumos TIPO'!O13</f>
        <v>Vestuarios</v>
      </c>
      <c r="D18" s="394">
        <f>'Consumos TIPO'!P13</f>
        <v>0</v>
      </c>
      <c r="E18" s="393">
        <f>'Consumos TIPO'!R13</f>
        <v>16</v>
      </c>
      <c r="F18" s="394">
        <f>'Consumos TIPO'!Z13</f>
        <v>0</v>
      </c>
    </row>
    <row r="19" spans="2:6" ht="5.0999999999999996" customHeight="1" x14ac:dyDescent="0.2"/>
    <row r="20" spans="2:6" x14ac:dyDescent="0.2">
      <c r="B20" s="396" t="s">
        <v>402</v>
      </c>
      <c r="C20" s="397"/>
      <c r="D20" s="398">
        <f>'Consumos TIPO'!D13</f>
        <v>3.1377714463379558</v>
      </c>
      <c r="E20" s="399">
        <f>'Tramos AF'!AA12</f>
        <v>50</v>
      </c>
      <c r="F20" s="398">
        <f>'Tramos AF'!AC12</f>
        <v>2.9463674797985169</v>
      </c>
    </row>
    <row r="22" spans="2:6" x14ac:dyDescent="0.2">
      <c r="B22" s="390" t="s">
        <v>213</v>
      </c>
      <c r="C22" s="400">
        <f ca="1">'Tramos AF'!D6</f>
        <v>6.3225183403377896</v>
      </c>
    </row>
    <row r="23" spans="2:6" x14ac:dyDescent="0.2">
      <c r="B23" s="390" t="s">
        <v>403</v>
      </c>
      <c r="C23" s="401">
        <f>'Grupo AF'!C8</f>
        <v>17</v>
      </c>
    </row>
    <row r="24" spans="2:6" ht="5.0999999999999996" customHeight="1" x14ac:dyDescent="0.2"/>
    <row r="25" spans="2:6" x14ac:dyDescent="0.2">
      <c r="B25" s="402" t="s">
        <v>380</v>
      </c>
      <c r="C25" s="403">
        <f ca="1">'Grupo AF'!C12</f>
        <v>37.972392038536363</v>
      </c>
    </row>
    <row r="26" spans="2:6" x14ac:dyDescent="0.2">
      <c r="B26" s="402" t="s">
        <v>404</v>
      </c>
      <c r="C26" s="404">
        <f>D20</f>
        <v>3.1377714463379558</v>
      </c>
    </row>
    <row r="28" spans="2:6" x14ac:dyDescent="0.2">
      <c r="B28" s="390" t="s">
        <v>405</v>
      </c>
      <c r="C28" s="390" t="s">
        <v>408</v>
      </c>
    </row>
    <row r="29" spans="2:6" x14ac:dyDescent="0.2">
      <c r="B29" s="390" t="s">
        <v>409</v>
      </c>
      <c r="C29" s="405">
        <f>'Grupo AF'!C25</f>
        <v>2</v>
      </c>
    </row>
    <row r="30" spans="2:6" x14ac:dyDescent="0.2">
      <c r="B30" s="390" t="s">
        <v>220</v>
      </c>
      <c r="C30" s="405">
        <f>'Grupo AF'!C26</f>
        <v>1</v>
      </c>
    </row>
    <row r="31" spans="2:6" x14ac:dyDescent="0.2">
      <c r="B31" s="390" t="s">
        <v>406</v>
      </c>
      <c r="C31" s="406">
        <f>'Grupo AF'!C21</f>
        <v>1300</v>
      </c>
    </row>
    <row r="32" spans="2:6" x14ac:dyDescent="0.2">
      <c r="B32" s="390" t="s">
        <v>407</v>
      </c>
      <c r="C32" s="406">
        <f ca="1">'Grupo AF'!C38</f>
        <v>200</v>
      </c>
    </row>
    <row r="34" spans="2:6" ht="13.5" thickBot="1" x14ac:dyDescent="0.25">
      <c r="B34" s="505" t="s">
        <v>410</v>
      </c>
      <c r="C34" s="505"/>
      <c r="D34" s="505"/>
      <c r="E34" s="505"/>
      <c r="F34" s="505"/>
    </row>
    <row r="36" spans="2:6" x14ac:dyDescent="0.2">
      <c r="B36" s="390" t="str">
        <f>B6</f>
        <v>Termoplastico</v>
      </c>
      <c r="C36" s="390" t="str">
        <f>C6</f>
        <v>serie 5</v>
      </c>
      <c r="D36" s="393" t="s">
        <v>397</v>
      </c>
      <c r="E36" s="393" t="s">
        <v>398</v>
      </c>
      <c r="F36" s="393" t="s">
        <v>399</v>
      </c>
    </row>
    <row r="37" spans="2:6" ht="5.0999999999999996" customHeight="1" x14ac:dyDescent="0.2"/>
    <row r="38" spans="2:6" x14ac:dyDescent="0.2">
      <c r="B38" s="392" t="str">
        <f>B8</f>
        <v>VIVIENDA TIPO A</v>
      </c>
      <c r="C38" s="392" t="str">
        <f t="shared" ref="C38:C42" si="0">C8</f>
        <v>Cocina + 2 baños (ducha + bañera)</v>
      </c>
      <c r="D38" s="394">
        <f>'Consumos TIPO'!F42</f>
        <v>0.51366164296555816</v>
      </c>
      <c r="E38" s="395">
        <f>'Consumos TIPO'!F46</f>
        <v>20</v>
      </c>
      <c r="F38" s="394">
        <f>'Consumos TIPO'!F48</f>
        <v>2.4316358829230866</v>
      </c>
    </row>
    <row r="39" spans="2:6" x14ac:dyDescent="0.2">
      <c r="B39" s="392" t="str">
        <f t="shared" ref="B39" si="1">B9</f>
        <v>VIVIENDA TIPO B</v>
      </c>
      <c r="C39" s="392" t="str">
        <f t="shared" si="0"/>
        <v>Duplex Cocina + 3 baños (2xducha + bañera)</v>
      </c>
      <c r="D39" s="394">
        <f>'Consumos TIPO'!L42</f>
        <v>0.57010797735737773</v>
      </c>
      <c r="E39" s="395">
        <f>'Consumos TIPO'!L46</f>
        <v>20</v>
      </c>
      <c r="F39" s="394">
        <f>'Consumos TIPO'!L48</f>
        <v>2.6988486173102393</v>
      </c>
    </row>
    <row r="40" spans="2:6" x14ac:dyDescent="0.2">
      <c r="B40" s="392" t="str">
        <f t="shared" ref="B40" si="2">B10</f>
        <v>VIVIENDA TIPO C</v>
      </c>
      <c r="C40" s="392" t="str">
        <f t="shared" si="0"/>
        <v>Cocina + 2 baños (ducha + bañera) + aseo</v>
      </c>
      <c r="D40" s="394">
        <f>'Consumos TIPO'!Q42</f>
        <v>0.5503517603202408</v>
      </c>
      <c r="E40" s="395">
        <f>'Consumos TIPO'!Q46</f>
        <v>20</v>
      </c>
      <c r="F40" s="394">
        <f>'Consumos TIPO'!Q48</f>
        <v>2.6053241602747357</v>
      </c>
    </row>
    <row r="41" spans="2:6" x14ac:dyDescent="0.2">
      <c r="B41" s="392" t="str">
        <f t="shared" ref="B41" si="3">B11</f>
        <v>VIVIENDA TIPO D</v>
      </c>
      <c r="C41" s="392" t="str">
        <f t="shared" si="0"/>
        <v>Cocina + 3 baños (2 duchas + bañera)</v>
      </c>
      <c r="D41" s="394">
        <f>'Consumos TIPO'!V42</f>
        <v>0.64348821206674311</v>
      </c>
      <c r="E41" s="395">
        <f>'Consumos TIPO'!V46</f>
        <v>25</v>
      </c>
      <c r="F41" s="394">
        <f>'Consumos TIPO'!V48</f>
        <v>1.9495841100886635</v>
      </c>
    </row>
    <row r="42" spans="2:6" x14ac:dyDescent="0.2">
      <c r="B42" s="392" t="str">
        <f t="shared" ref="B42" si="4">B12</f>
        <v>VIVIENDA TIPO E</v>
      </c>
      <c r="C42" s="392" t="str">
        <f t="shared" si="0"/>
        <v>Cocina + 1 baño</v>
      </c>
      <c r="D42" s="394">
        <f>'Consumos TIPO'!AA42</f>
        <v>0.38383507386437316</v>
      </c>
      <c r="E42" s="395">
        <f>'Consumos TIPO'!AA46</f>
        <v>16</v>
      </c>
      <c r="F42" s="394">
        <f>'Consumos TIPO'!AA48</f>
        <v>2.8478110359374504</v>
      </c>
    </row>
    <row r="43" spans="2:6" ht="5.0999999999999996" customHeight="1" x14ac:dyDescent="0.2"/>
    <row r="44" spans="2:6" x14ac:dyDescent="0.2">
      <c r="B44" s="396" t="s">
        <v>411</v>
      </c>
      <c r="C44" s="397"/>
      <c r="D44" s="398">
        <f>'Consumos TIPO'!D14</f>
        <v>2.5915294289833843</v>
      </c>
      <c r="E44" s="399">
        <f>'Tramos ACS'!AA12</f>
        <v>50</v>
      </c>
      <c r="F44" s="398">
        <f>'Tramos ACS'!AC12</f>
        <v>2.4767406645348702</v>
      </c>
    </row>
  </sheetData>
  <sheetProtection password="A1C5" sheet="1" objects="1" scenarios="1"/>
  <mergeCells count="3">
    <mergeCell ref="C2:F2"/>
    <mergeCell ref="B4:F4"/>
    <mergeCell ref="B34:F34"/>
  </mergeCells>
  <pageMargins left="0.7" right="0.7" top="0.75" bottom="0.75" header="0.3" footer="0.3"/>
  <pageSetup paperSize="9" scale="71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19</vt:i4>
      </vt:variant>
    </vt:vector>
  </HeadingPairs>
  <TitlesOfParts>
    <vt:vector size="29" baseType="lpstr">
      <vt:lpstr>¿</vt:lpstr>
      <vt:lpstr>Consumos TIPO</vt:lpstr>
      <vt:lpstr>Tramos AF</vt:lpstr>
      <vt:lpstr>Grupo AF</vt:lpstr>
      <vt:lpstr>Propiedades agua</vt:lpstr>
      <vt:lpstr>Tramos ACS</vt:lpstr>
      <vt:lpstr>Retorno ACS</vt:lpstr>
      <vt:lpstr>Tablas</vt:lpstr>
      <vt:lpstr>RESUMEN</vt:lpstr>
      <vt:lpstr>Graficos</vt:lpstr>
      <vt:lpstr>aparatos</vt:lpstr>
      <vt:lpstr>'Grupo AF'!Área_de_impresión</vt:lpstr>
      <vt:lpstr>RESUMEN!Área_de_impresión</vt:lpstr>
      <vt:lpstr>'Tramos ACS'!Área_de_impresión</vt:lpstr>
      <vt:lpstr>'Tramos AF'!Área_de_impresión</vt:lpstr>
      <vt:lpstr>confort</vt:lpstr>
      <vt:lpstr>diametros</vt:lpstr>
      <vt:lpstr>edificios</vt:lpstr>
      <vt:lpstr>int_ext</vt:lpstr>
      <vt:lpstr>pb</vt:lpstr>
      <vt:lpstr>pex</vt:lpstr>
      <vt:lpstr>pp</vt:lpstr>
      <vt:lpstr>serie</vt:lpstr>
      <vt:lpstr>series</vt:lpstr>
      <vt:lpstr>sn</vt:lpstr>
      <vt:lpstr>Tagua</vt:lpstr>
      <vt:lpstr>tipos</vt:lpstr>
      <vt:lpstr>tipostubo</vt:lpstr>
      <vt:lpstr>tramos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Redondo</dc:creator>
  <cp:lastModifiedBy>Oscar Redondo</cp:lastModifiedBy>
  <dcterms:created xsi:type="dcterms:W3CDTF">2013-01-16T08:20:16Z</dcterms:created>
  <dcterms:modified xsi:type="dcterms:W3CDTF">2022-12-01T12:49:38Z</dcterms:modified>
</cp:coreProperties>
</file>