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20" windowWidth="9450" windowHeight="4800" activeTab="0"/>
  </bookViews>
  <sheets>
    <sheet name="Programa" sheetId="1" r:id="rId1"/>
    <sheet name="AYUDA" sheetId="2" r:id="rId2"/>
    <sheet name="Datos" sheetId="3" r:id="rId3"/>
    <sheet name="Calculo" sheetId="4" r:id="rId4"/>
    <sheet name="Coordenadas" sheetId="5" r:id="rId5"/>
    <sheet name="Prontuario" sheetId="6" r:id="rId6"/>
  </sheets>
  <definedNames>
    <definedName name="ACABADOS">'Datos'!$D$5:$D$11</definedName>
    <definedName name="ACEROS">'Datos'!$E$27:$E$30</definedName>
    <definedName name="coordenada">'Coordenadas'!$B$16:$CX$16</definedName>
    <definedName name="DUPN" localSheetId="3">'Calculo'!#REF!</definedName>
    <definedName name="DUPN">'Prontuario'!$A$142:$A$153</definedName>
    <definedName name="fabs">'Datos'!$I$27:$I$30</definedName>
    <definedName name="FORJADO">'Datos'!$A$5:$A$11</definedName>
    <definedName name="frel">'Datos'!$J$27:$J$29</definedName>
    <definedName name="HEA" localSheetId="3">'Calculo'!#REF!</definedName>
    <definedName name="HEA">'Prontuario'!$A$93:$A$119</definedName>
    <definedName name="HEB" localSheetId="3">'Calculo'!#REF!</definedName>
    <definedName name="HEB">'Prontuario'!$A$61:$A$87</definedName>
    <definedName name="ipe" localSheetId="3">'Calculo'!#REF!</definedName>
    <definedName name="ipe">'Prontuario'!$A$4:$A$29</definedName>
    <definedName name="ipn" localSheetId="3">'Calculo'!#REF!</definedName>
    <definedName name="ipn">'Prontuario'!$A$35:$A$55</definedName>
    <definedName name="maa">'Calculo'!$D$54:$D$57</definedName>
    <definedName name="N">'Datos'!$D$15:$E$22</definedName>
    <definedName name="NIEVE">'Datos'!$D$15:$D$21</definedName>
    <definedName name="NIEVE2">'Datos'!$D$15:$E$22</definedName>
    <definedName name="NIEVES">'Datos'!$D$15:$E$22</definedName>
    <definedName name="normativa">'Datos'!$B$26:$C$26</definedName>
    <definedName name="perfiles">'Datos'!$K$11:$K$20</definedName>
    <definedName name="perfilesMAX">'Datos'!$K$11:$K$20</definedName>
    <definedName name="PRONTUARIO">'Calculo'!$A$8:$A$14</definedName>
    <definedName name="sn">'Calculo'!$I$3:$I$4</definedName>
    <definedName name="SOBRECARGA">'Datos'!$A$15:$A$22</definedName>
    <definedName name="T" localSheetId="3">'Calculo'!#REF!</definedName>
    <definedName name="T">'Prontuario'!$A$159:$A$164</definedName>
    <definedName name="tipo">'Datos'!$A$28:$A$29</definedName>
    <definedName name="UPN" localSheetId="3">'Calculo'!#REF!</definedName>
    <definedName name="UPN">'Prontuario'!$A$125:$A$136</definedName>
    <definedName name="V">'Datos'!$G$15:$H$20</definedName>
    <definedName name="VIENTO">'Datos'!$G$15:$G$19</definedName>
    <definedName name="viento2">'Datos'!$G$15:$H$20</definedName>
    <definedName name="VINCULOS">'Calculo'!$A$38:$A$41</definedName>
  </definedNames>
  <calcPr fullCalcOnLoad="1"/>
</workbook>
</file>

<file path=xl/sharedStrings.xml><?xml version="1.0" encoding="utf-8"?>
<sst xmlns="http://schemas.openxmlformats.org/spreadsheetml/2006/main" count="804" uniqueCount="409">
  <si>
    <t>IPE</t>
  </si>
  <si>
    <t>DIMENSIONES mm</t>
  </si>
  <si>
    <t>SECC.</t>
  </si>
  <si>
    <t xml:space="preserve">PESO </t>
  </si>
  <si>
    <t>REFERIDO AL EJE x-x</t>
  </si>
  <si>
    <t>REFERIDO AL EJE y-y</t>
  </si>
  <si>
    <t>w</t>
  </si>
  <si>
    <t>w1</t>
  </si>
  <si>
    <t>d</t>
  </si>
  <si>
    <t>Sx</t>
  </si>
  <si>
    <t>sx</t>
  </si>
  <si>
    <t>h=</t>
  </si>
  <si>
    <t>u</t>
  </si>
  <si>
    <t>h</t>
  </si>
  <si>
    <t>b</t>
  </si>
  <si>
    <t>e</t>
  </si>
  <si>
    <t>e1</t>
  </si>
  <si>
    <t>r</t>
  </si>
  <si>
    <t>h1</t>
  </si>
  <si>
    <t>A  cm 2</t>
  </si>
  <si>
    <t>P   kg/m</t>
  </si>
  <si>
    <t>Ix  cm 4</t>
  </si>
  <si>
    <t>Wx  cm 3</t>
  </si>
  <si>
    <t>ix  cm</t>
  </si>
  <si>
    <t>Iy  cm 4</t>
  </si>
  <si>
    <t>Wy  cm 3</t>
  </si>
  <si>
    <t>iy  cm</t>
  </si>
  <si>
    <t>mm</t>
  </si>
  <si>
    <t>cm3</t>
  </si>
  <si>
    <t>cm</t>
  </si>
  <si>
    <t>Wx/P</t>
  </si>
  <si>
    <t>m2/m</t>
  </si>
  <si>
    <t>IPN</t>
  </si>
  <si>
    <t>e2</t>
  </si>
  <si>
    <t>e=r</t>
  </si>
  <si>
    <t>r1</t>
  </si>
  <si>
    <t>iy=i  cm</t>
  </si>
  <si>
    <t>__</t>
  </si>
  <si>
    <t>HEB</t>
  </si>
  <si>
    <t>w2</t>
  </si>
  <si>
    <t>HEA</t>
  </si>
  <si>
    <t>UPN</t>
  </si>
  <si>
    <t>E</t>
  </si>
  <si>
    <t>CONFIGURACIONES DE CARGA</t>
  </si>
  <si>
    <t>Sobrecarga</t>
  </si>
  <si>
    <t>Nieve</t>
  </si>
  <si>
    <t>Viento</t>
  </si>
  <si>
    <t>Acabados</t>
  </si>
  <si>
    <t>Vivienda</t>
  </si>
  <si>
    <t>Garaje</t>
  </si>
  <si>
    <t>Otros</t>
  </si>
  <si>
    <t>Esp. Circulacion</t>
  </si>
  <si>
    <t>Vigas de Acero.   Flexion simple</t>
  </si>
  <si>
    <t>Forjado</t>
  </si>
  <si>
    <t>Normativa</t>
  </si>
  <si>
    <t>L</t>
  </si>
  <si>
    <t>A</t>
  </si>
  <si>
    <t>B</t>
  </si>
  <si>
    <t>Tipo Acero</t>
  </si>
  <si>
    <t>Tipo Perfil</t>
  </si>
  <si>
    <t>% aprov.</t>
  </si>
  <si>
    <t>Total</t>
  </si>
  <si>
    <t>Carga Puntual</t>
  </si>
  <si>
    <t>Hormigón 30cm</t>
  </si>
  <si>
    <t>Acero pesado</t>
  </si>
  <si>
    <t>Acero ligero</t>
  </si>
  <si>
    <t>Madera ligero</t>
  </si>
  <si>
    <t>Madera pesado</t>
  </si>
  <si>
    <t>Losa H.A 20cm</t>
  </si>
  <si>
    <t>tabiqueria</t>
  </si>
  <si>
    <t>solado</t>
  </si>
  <si>
    <t>otros</t>
  </si>
  <si>
    <t>Local</t>
  </si>
  <si>
    <t>Edif.. Publico</t>
  </si>
  <si>
    <t>Cubierta ligera</t>
  </si>
  <si>
    <t>TOTAL</t>
  </si>
  <si>
    <t>Cubierta palom.</t>
  </si>
  <si>
    <t>Cub. Incl. Madrid</t>
  </si>
  <si>
    <t>Cub. Incl. Toledo</t>
  </si>
  <si>
    <t>Exposicion III</t>
  </si>
  <si>
    <t>Exposicion IV</t>
  </si>
  <si>
    <t>Exposicion V</t>
  </si>
  <si>
    <t>Sin Nieve</t>
  </si>
  <si>
    <t>Cubierta Plana</t>
  </si>
  <si>
    <t>Cub. Incl. Guad.</t>
  </si>
  <si>
    <t>Exposicion I y II</t>
  </si>
  <si>
    <t>Sin Viento</t>
  </si>
  <si>
    <t>Momento</t>
  </si>
  <si>
    <t>Tipo perfiles</t>
  </si>
  <si>
    <t>2UPN</t>
  </si>
  <si>
    <t>T</t>
  </si>
  <si>
    <t>Edif. Publico</t>
  </si>
  <si>
    <t>Tipo de Vinculos</t>
  </si>
  <si>
    <t>CTE-SE</t>
  </si>
  <si>
    <t>AE88 / EA95</t>
  </si>
  <si>
    <t>Aceros</t>
  </si>
  <si>
    <t>S235</t>
  </si>
  <si>
    <t>S275</t>
  </si>
  <si>
    <t>S335</t>
  </si>
  <si>
    <t>S450</t>
  </si>
  <si>
    <t>Fy (N/mm²)</t>
  </si>
  <si>
    <t>Fu (N/mm²)</t>
  </si>
  <si>
    <t>Flecha abs</t>
  </si>
  <si>
    <t>Flecha rel.</t>
  </si>
  <si>
    <t>L/500</t>
  </si>
  <si>
    <t>L/400</t>
  </si>
  <si>
    <t>L/300</t>
  </si>
  <si>
    <t>C Permanente</t>
  </si>
  <si>
    <t>C Variable</t>
  </si>
  <si>
    <t>C Nieve</t>
  </si>
  <si>
    <t>C Viento</t>
  </si>
  <si>
    <t>C Min acero</t>
  </si>
  <si>
    <t>Datos de calculo</t>
  </si>
  <si>
    <t>Q sobre viga</t>
  </si>
  <si>
    <t>Longitud tributaria</t>
  </si>
  <si>
    <t>Luz de viga</t>
  </si>
  <si>
    <t>Distancia izq.</t>
  </si>
  <si>
    <t>Tensión acero</t>
  </si>
  <si>
    <t>Vinculo der.</t>
  </si>
  <si>
    <t>Vinculo izq.</t>
  </si>
  <si>
    <t>Coeficientes</t>
  </si>
  <si>
    <t>C permanente</t>
  </si>
  <si>
    <t>C variable</t>
  </si>
  <si>
    <t>C viento</t>
  </si>
  <si>
    <t>C nieve</t>
  </si>
  <si>
    <t>C min acero</t>
  </si>
  <si>
    <t>Q total (mayorada)</t>
  </si>
  <si>
    <t>Tension minorada</t>
  </si>
  <si>
    <t>Q sobre viga may.</t>
  </si>
  <si>
    <t>Luz</t>
  </si>
  <si>
    <t>apoyado-apoyado</t>
  </si>
  <si>
    <t>apoyado-empotrado</t>
  </si>
  <si>
    <t>empotrado-empotrado</t>
  </si>
  <si>
    <t>empotrado-libre</t>
  </si>
  <si>
    <t>Resultado</t>
  </si>
  <si>
    <t>extremo izq</t>
  </si>
  <si>
    <t>extremo der</t>
  </si>
  <si>
    <t>Momento Q</t>
  </si>
  <si>
    <t>1/2 luz</t>
  </si>
  <si>
    <t>distancia d</t>
  </si>
  <si>
    <t>Momento P</t>
  </si>
  <si>
    <t>CALCULO FLEXION SIMPLE</t>
  </si>
  <si>
    <t>Apoyado-Empotrado</t>
  </si>
  <si>
    <t>Empotrado-Empotrado</t>
  </si>
  <si>
    <t>Empotrado-Libre</t>
  </si>
  <si>
    <t>Apoyado-Apoyado</t>
  </si>
  <si>
    <t>valor x</t>
  </si>
  <si>
    <t>Resultados</t>
  </si>
  <si>
    <t>T 40.5</t>
  </si>
  <si>
    <t>T 50.6</t>
  </si>
  <si>
    <t>T 60.7</t>
  </si>
  <si>
    <t>T 70.8</t>
  </si>
  <si>
    <t>T 80.9</t>
  </si>
  <si>
    <t>T 100.11</t>
  </si>
  <si>
    <t>3/8 L</t>
  </si>
  <si>
    <t>l - d</t>
  </si>
  <si>
    <t>W</t>
  </si>
  <si>
    <t>I</t>
  </si>
  <si>
    <t>mínimo</t>
  </si>
  <si>
    <t>Perfil Deformacion</t>
  </si>
  <si>
    <t>Pefil por Tension</t>
  </si>
  <si>
    <t>RESULTADO</t>
  </si>
  <si>
    <t>Calculo Resistencia</t>
  </si>
  <si>
    <t>Calculo Deformación</t>
  </si>
  <si>
    <t>Flecha abs. Max</t>
  </si>
  <si>
    <t>Flecha rel. Max</t>
  </si>
  <si>
    <t>Flecha máxima</t>
  </si>
  <si>
    <t>Inercia</t>
  </si>
  <si>
    <t>Inercia min</t>
  </si>
  <si>
    <t>W min</t>
  </si>
  <si>
    <t>MAYOR</t>
  </si>
  <si>
    <t>IPE 80</t>
  </si>
  <si>
    <t>IPE 100</t>
  </si>
  <si>
    <t>IPE 120</t>
  </si>
  <si>
    <t>IPE 140</t>
  </si>
  <si>
    <t>IPE 160</t>
  </si>
  <si>
    <t>IPE 180</t>
  </si>
  <si>
    <t>IPE 200</t>
  </si>
  <si>
    <t>IPE 220</t>
  </si>
  <si>
    <t>IPE 240</t>
  </si>
  <si>
    <t>IPE 270</t>
  </si>
  <si>
    <t>IPE 300</t>
  </si>
  <si>
    <t>IPE 330</t>
  </si>
  <si>
    <t>IPE 360</t>
  </si>
  <si>
    <t>IPE 400</t>
  </si>
  <si>
    <t>IPE 450</t>
  </si>
  <si>
    <t>IPE 500</t>
  </si>
  <si>
    <t>IPE 550</t>
  </si>
  <si>
    <t>IPE 600</t>
  </si>
  <si>
    <t>IPE 650</t>
  </si>
  <si>
    <t>IPE 700</t>
  </si>
  <si>
    <t>IPE 750</t>
  </si>
  <si>
    <t>IPE 800</t>
  </si>
  <si>
    <t>IPE 850</t>
  </si>
  <si>
    <t>IPE 900</t>
  </si>
  <si>
    <t>IPE 950</t>
  </si>
  <si>
    <t>IPE 1000</t>
  </si>
  <si>
    <t>Inercia Q</t>
  </si>
  <si>
    <t>Inercia P</t>
  </si>
  <si>
    <t>IPN 80</t>
  </si>
  <si>
    <t>IPN 100</t>
  </si>
  <si>
    <t>IPN 120</t>
  </si>
  <si>
    <t>IPN 140</t>
  </si>
  <si>
    <t>IPN 160</t>
  </si>
  <si>
    <t>IPN 180</t>
  </si>
  <si>
    <t>IPN 200</t>
  </si>
  <si>
    <t>IPN 220</t>
  </si>
  <si>
    <t>IPN 240</t>
  </si>
  <si>
    <t>IPN 260</t>
  </si>
  <si>
    <t>IPN 280</t>
  </si>
  <si>
    <t>IPN 300</t>
  </si>
  <si>
    <t>IPN 320</t>
  </si>
  <si>
    <t>IPN 340</t>
  </si>
  <si>
    <t>IPN 360</t>
  </si>
  <si>
    <t>IPN 380</t>
  </si>
  <si>
    <t>IPN 400</t>
  </si>
  <si>
    <t>IPN 450</t>
  </si>
  <si>
    <t>IPN 500</t>
  </si>
  <si>
    <t>IPN 550</t>
  </si>
  <si>
    <t>IPN 600</t>
  </si>
  <si>
    <t>HEB 100</t>
  </si>
  <si>
    <t>HEB 120</t>
  </si>
  <si>
    <t>HEB 140</t>
  </si>
  <si>
    <t>HEB 160</t>
  </si>
  <si>
    <t>HEB 180</t>
  </si>
  <si>
    <t>HEB 200</t>
  </si>
  <si>
    <t>HEB 240</t>
  </si>
  <si>
    <t>HEB 220</t>
  </si>
  <si>
    <t>HEB 260</t>
  </si>
  <si>
    <t>HEB 280</t>
  </si>
  <si>
    <t>HEB 300</t>
  </si>
  <si>
    <t>HEB 340</t>
  </si>
  <si>
    <t>HEB 360</t>
  </si>
  <si>
    <t>HEB 400</t>
  </si>
  <si>
    <t>HEB 450</t>
  </si>
  <si>
    <t>HEB 500</t>
  </si>
  <si>
    <t>HEB 550</t>
  </si>
  <si>
    <t>HEB 600</t>
  </si>
  <si>
    <t>HEB 650</t>
  </si>
  <si>
    <t>HEB 700</t>
  </si>
  <si>
    <t>HEB 800</t>
  </si>
  <si>
    <t>HEB 900</t>
  </si>
  <si>
    <t>HEB 1000</t>
  </si>
  <si>
    <t>HEA 100</t>
  </si>
  <si>
    <t>HEA 120</t>
  </si>
  <si>
    <t>HEA 140</t>
  </si>
  <si>
    <t>HEA 160</t>
  </si>
  <si>
    <t>HEA 180</t>
  </si>
  <si>
    <t>HEA 200</t>
  </si>
  <si>
    <t>HEA 220</t>
  </si>
  <si>
    <t>HEA 240</t>
  </si>
  <si>
    <t>HEA 260</t>
  </si>
  <si>
    <t>HEA 280</t>
  </si>
  <si>
    <t>HEA 300</t>
  </si>
  <si>
    <t>HEA 320</t>
  </si>
  <si>
    <t>HEA 340</t>
  </si>
  <si>
    <t>HEA 360</t>
  </si>
  <si>
    <t>HEA 400</t>
  </si>
  <si>
    <t>HEA 450</t>
  </si>
  <si>
    <t>HEA 500</t>
  </si>
  <si>
    <t>HEA 550</t>
  </si>
  <si>
    <t>HEA 600</t>
  </si>
  <si>
    <t>HEA 650</t>
  </si>
  <si>
    <t>HEA 700</t>
  </si>
  <si>
    <t>HEA 800</t>
  </si>
  <si>
    <t>HEA 900</t>
  </si>
  <si>
    <t>HEA 1000</t>
  </si>
  <si>
    <t>40.5</t>
  </si>
  <si>
    <t>50.6</t>
  </si>
  <si>
    <t>60.7</t>
  </si>
  <si>
    <t>70.8</t>
  </si>
  <si>
    <t>80.9</t>
  </si>
  <si>
    <t>100.11</t>
  </si>
  <si>
    <t>UPN 80</t>
  </si>
  <si>
    <t>UPN 100</t>
  </si>
  <si>
    <t>UPN 120</t>
  </si>
  <si>
    <t>UPN 140</t>
  </si>
  <si>
    <t>UPN 160</t>
  </si>
  <si>
    <t>UPN 180</t>
  </si>
  <si>
    <t>UPN 200</t>
  </si>
  <si>
    <t>UPN 220</t>
  </si>
  <si>
    <t>UPN 240</t>
  </si>
  <si>
    <t>UPN 260</t>
  </si>
  <si>
    <t>UPN 280</t>
  </si>
  <si>
    <t>UPN 300</t>
  </si>
  <si>
    <t>2UPN 80</t>
  </si>
  <si>
    <t>2UPN 100</t>
  </si>
  <si>
    <t>2UPN 120</t>
  </si>
  <si>
    <t>2UPN 140</t>
  </si>
  <si>
    <t>2UPN 160</t>
  </si>
  <si>
    <t>2UPN 180</t>
  </si>
  <si>
    <t>2UPN 200</t>
  </si>
  <si>
    <t>2UPN 220</t>
  </si>
  <si>
    <t>2UPN 240</t>
  </si>
  <si>
    <t>2UPN 260</t>
  </si>
  <si>
    <t>2UPN 280</t>
  </si>
  <si>
    <t>2UPN 300</t>
  </si>
  <si>
    <t>Prontuario</t>
  </si>
  <si>
    <t>Perfil</t>
  </si>
  <si>
    <t>A (cm²)</t>
  </si>
  <si>
    <t>W (cm³)</t>
  </si>
  <si>
    <r>
      <t>I (cm</t>
    </r>
    <r>
      <rPr>
        <sz val="8"/>
        <rFont val="Arial"/>
        <family val="2"/>
      </rPr>
      <t>4)</t>
    </r>
  </si>
  <si>
    <t>W necesario</t>
  </si>
  <si>
    <t>I necesaria</t>
  </si>
  <si>
    <t>PERFILES SELECCIONADOS</t>
  </si>
  <si>
    <t>SELECCIÓN PERFILES</t>
  </si>
  <si>
    <t>CONFIGURACIONES DE CALCULO</t>
  </si>
  <si>
    <t>Perfiles T</t>
  </si>
  <si>
    <t>Q sobre forjado</t>
  </si>
  <si>
    <t>extremo</t>
  </si>
  <si>
    <t>0,422 l</t>
  </si>
  <si>
    <t>para d &lt; l/2</t>
  </si>
  <si>
    <t>Q may</t>
  </si>
  <si>
    <t>P may</t>
  </si>
  <si>
    <t>d &lt;= 0,422 l</t>
  </si>
  <si>
    <t>d &gt;= 0,422 l</t>
  </si>
  <si>
    <t>COORDENADA X</t>
  </si>
  <si>
    <t>MOMENTO Q</t>
  </si>
  <si>
    <t>MOMENTO P</t>
  </si>
  <si>
    <t>LUZ</t>
  </si>
  <si>
    <t>CARGA MAYORADA</t>
  </si>
  <si>
    <t>CARGA P MAYORADA</t>
  </si>
  <si>
    <t>DISTANCIA D</t>
  </si>
  <si>
    <t>DISTANCIA L-D</t>
  </si>
  <si>
    <t>CORTANTE Q</t>
  </si>
  <si>
    <t>CORTANTE P</t>
  </si>
  <si>
    <t>Flecha max</t>
  </si>
  <si>
    <t>FLECHA MAX</t>
  </si>
  <si>
    <t>INERCIA Q</t>
  </si>
  <si>
    <t>INERCIA P</t>
  </si>
  <si>
    <t>CARGA SIN MAYORAR</t>
  </si>
  <si>
    <t>P SIN MAYORAR</t>
  </si>
  <si>
    <t>Solicitaciones en Viga</t>
  </si>
  <si>
    <t>Valores Màximos</t>
  </si>
  <si>
    <t>Por Coordenadas</t>
  </si>
  <si>
    <t>Cortante</t>
  </si>
  <si>
    <t>Flecha</t>
  </si>
  <si>
    <t>Valor x</t>
  </si>
  <si>
    <t>PERFIL DE CALCULO</t>
  </si>
  <si>
    <t>INERCIA DEL PERFIL</t>
  </si>
  <si>
    <t>FLECHA Q</t>
  </si>
  <si>
    <t>FLECHA P</t>
  </si>
  <si>
    <t>GRAFICO</t>
  </si>
  <si>
    <t>LIMITACION DE FLECHA</t>
  </si>
  <si>
    <t>TIPO DE VINCULOS</t>
  </si>
  <si>
    <t>PERFIL RESULTANTE</t>
  </si>
  <si>
    <t>PRONTUARIO DE COMPROBACION</t>
  </si>
  <si>
    <t>DATOS GEOMETRIA VIGA</t>
  </si>
  <si>
    <t>DATOS CARGA PUNTUAL</t>
  </si>
  <si>
    <t>DATOS CARGAS EN FORJADO</t>
  </si>
  <si>
    <t>RESULTADO SOLICITACIONES EN VIGA</t>
  </si>
  <si>
    <t>NORMATIVA / TIPO ACERO</t>
  </si>
  <si>
    <t>E-E</t>
  </si>
  <si>
    <t>RA</t>
  </si>
  <si>
    <t>RB</t>
  </si>
  <si>
    <t>MA</t>
  </si>
  <si>
    <t>MB</t>
  </si>
  <si>
    <t>A-E</t>
  </si>
  <si>
    <t>P</t>
  </si>
  <si>
    <t>RESULTADOS SOLICITACIONES MAX.</t>
  </si>
  <si>
    <t>GA</t>
  </si>
  <si>
    <t>GB</t>
  </si>
  <si>
    <t>C1-1</t>
  </si>
  <si>
    <t>C1-2</t>
  </si>
  <si>
    <t>C2-2</t>
  </si>
  <si>
    <t>Momento +</t>
  </si>
  <si>
    <t>Momento -</t>
  </si>
  <si>
    <t>% aprovechamiento perfil</t>
  </si>
  <si>
    <t>Flecha absoluta</t>
  </si>
  <si>
    <t>Flecha  relativa</t>
  </si>
  <si>
    <t>M-</t>
  </si>
  <si>
    <t>Momentos s/ apoyos</t>
  </si>
  <si>
    <t>Momento s/ formula</t>
  </si>
  <si>
    <t>M+</t>
  </si>
  <si>
    <t>V</t>
  </si>
  <si>
    <t>F</t>
  </si>
  <si>
    <t>MAX</t>
  </si>
  <si>
    <t>MIN</t>
  </si>
  <si>
    <t xml:space="preserve">MIN AB </t>
  </si>
  <si>
    <t>RES MAX</t>
  </si>
  <si>
    <t>Solicitación</t>
  </si>
  <si>
    <t>Sin Carga</t>
  </si>
  <si>
    <t>Sin Sobrecarga</t>
  </si>
  <si>
    <t>Cf Mayoracion P</t>
  </si>
  <si>
    <t>C1</t>
  </si>
  <si>
    <t>C2</t>
  </si>
  <si>
    <t>CORTANTES</t>
  </si>
  <si>
    <t>MOMENTOS</t>
  </si>
  <si>
    <t>DEFORMADA</t>
  </si>
  <si>
    <t>COOR</t>
  </si>
  <si>
    <t>Peso kg/m</t>
  </si>
  <si>
    <t>Peso perfil</t>
  </si>
  <si>
    <t>Si</t>
  </si>
  <si>
    <t>No</t>
  </si>
  <si>
    <t>Peso</t>
  </si>
  <si>
    <t>Tipo dimensionado</t>
  </si>
  <si>
    <t xml:space="preserve"> PESO PERFIL</t>
  </si>
  <si>
    <t>Q "otros" may.</t>
  </si>
  <si>
    <t>Carga en Perfil</t>
  </si>
  <si>
    <t>W perfil</t>
  </si>
  <si>
    <t>% aprov. W</t>
  </si>
  <si>
    <t>Version 1.3  Abril 2008</t>
  </si>
  <si>
    <t>Inercia min.</t>
  </si>
  <si>
    <t>cm4</t>
  </si>
  <si>
    <t>Inercia perfil</t>
  </si>
  <si>
    <t>Perfil Prontuario</t>
  </si>
  <si>
    <r>
      <t>Nota:  La presente aplicación se proporciona en abierto "tal cual", sin garantías implicitas o explicitas. Bajo ninguna circuntancia el autor se responsabiliza de su uso.    Version Septiembre</t>
    </r>
    <r>
      <rPr>
        <sz val="10"/>
        <rFont val="Technic"/>
        <family val="0"/>
      </rPr>
      <t xml:space="preserve"> 2014</t>
    </r>
  </si>
  <si>
    <t>Autor: Oscar Redondo Rivera.       o.redondo.rivera@gmail.com</t>
  </si>
  <si>
    <t>Actualizaciones y otras herramientas en: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</si>
</sst>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_ ;[Red]\-0.00\ "/>
    <numFmt numFmtId="166" formatCode="0.00&quot;cm³&quot;\ "/>
    <numFmt numFmtId="167" formatCode="0.00&quot;cm4&quot;"/>
    <numFmt numFmtId="168" formatCode="#,##0.000"/>
    <numFmt numFmtId="169" formatCode="0.00&quot;cm&quot;"/>
    <numFmt numFmtId="170" formatCode="0.000&quot;cm&quot;"/>
    <numFmt numFmtId="171" formatCode="#,##0\ &quot;€&quot;"/>
    <numFmt numFmtId="172" formatCode="#,##0\ _€"/>
    <numFmt numFmtId="173" formatCode="0&quot;cm4&quot;"/>
    <numFmt numFmtId="174" formatCode="0.00&quot;m&quot;"/>
    <numFmt numFmtId="175" formatCode="0.00&quot;Kn&quot;"/>
    <numFmt numFmtId="176" formatCode="0.00&quot;Kn/m²&quot;"/>
    <numFmt numFmtId="177" formatCode="0.00&quot;Kn/m&quot;"/>
    <numFmt numFmtId="178" formatCode="0.00&quot;N/mm²&quot;"/>
    <numFmt numFmtId="179" formatCode="0&quot;N/mm²&quot;"/>
    <numFmt numFmtId="180" formatCode="0.00\ &quot;Kn/m²&quot;"/>
    <numFmt numFmtId="181" formatCode="0.00\ &quot;m&quot;"/>
    <numFmt numFmtId="182" formatCode="0.00\ &quot;Kn&quot;"/>
    <numFmt numFmtId="183" formatCode="0.00\ &quot;Kn x m&quot;"/>
    <numFmt numFmtId="184" formatCode="0.00&quot;Kn m&quot;"/>
    <numFmt numFmtId="185" formatCode="0.00\ &quot;Kn m&quot;"/>
    <numFmt numFmtId="186" formatCode="0.00\ &quot;N/mm²&quot;"/>
    <numFmt numFmtId="187" formatCode="0.00\ &quot;cm&quot;"/>
    <numFmt numFmtId="188" formatCode="0.00\ &quot;cm³&quot;"/>
    <numFmt numFmtId="189" formatCode="0\ &quot;N/mm²&quot;"/>
    <numFmt numFmtId="190" formatCode="0.00\ &quot;cm²&quot;"/>
    <numFmt numFmtId="191" formatCode="#,##0_ ;[Red]\-#,##0\ "/>
    <numFmt numFmtId="192" formatCode="#,##0.0000_ ;[Red]\-#,##0.0000\ "/>
    <numFmt numFmtId="193" formatCode="0.0000"/>
    <numFmt numFmtId="194" formatCode="#,##0.00;[Red]#,##0.00"/>
    <numFmt numFmtId="195" formatCode="0.00\ &quot;Kn/m&quot;"/>
  </numFmts>
  <fonts count="59">
    <font>
      <sz val="10"/>
      <name val="Arial"/>
      <family val="0"/>
    </font>
    <font>
      <b/>
      <sz val="14"/>
      <name val="Helv"/>
      <family val="0"/>
    </font>
    <font>
      <b/>
      <sz val="10"/>
      <name val="Helv"/>
      <family val="0"/>
    </font>
    <font>
      <b/>
      <sz val="10"/>
      <name val="Symbol"/>
      <family val="1"/>
    </font>
    <font>
      <sz val="10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10"/>
      <name val="Arial"/>
      <family val="2"/>
    </font>
    <font>
      <sz val="5.25"/>
      <color indexed="8"/>
      <name val="Arial"/>
      <family val="2"/>
    </font>
    <font>
      <sz val="5.75"/>
      <color indexed="8"/>
      <name val="Arial"/>
      <family val="2"/>
    </font>
    <font>
      <sz val="5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0"/>
      <name val="Technic"/>
      <family val="0"/>
    </font>
    <font>
      <b/>
      <sz val="10"/>
      <color indexed="9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37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6" fillId="33" borderId="20" xfId="0" applyFont="1" applyFill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21" xfId="0" applyFont="1" applyFill="1" applyBorder="1" applyAlignment="1">
      <alignment/>
    </xf>
    <xf numFmtId="0" fontId="7" fillId="34" borderId="4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5" fillId="34" borderId="47" xfId="0" applyFont="1" applyFill="1" applyBorder="1" applyAlignment="1">
      <alignment/>
    </xf>
    <xf numFmtId="0" fontId="5" fillId="34" borderId="48" xfId="0" applyFont="1" applyFill="1" applyBorder="1" applyAlignment="1">
      <alignment/>
    </xf>
    <xf numFmtId="0" fontId="5" fillId="34" borderId="46" xfId="0" applyFont="1" applyFill="1" applyBorder="1" applyAlignment="1">
      <alignment/>
    </xf>
    <xf numFmtId="0" fontId="7" fillId="0" borderId="43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180" fontId="7" fillId="33" borderId="49" xfId="0" applyNumberFormat="1" applyFont="1" applyFill="1" applyBorder="1" applyAlignment="1">
      <alignment/>
    </xf>
    <xf numFmtId="180" fontId="7" fillId="33" borderId="50" xfId="0" applyNumberFormat="1" applyFont="1" applyFill="1" applyBorder="1" applyAlignment="1">
      <alignment/>
    </xf>
    <xf numFmtId="180" fontId="7" fillId="33" borderId="33" xfId="0" applyNumberFormat="1" applyFont="1" applyFill="1" applyBorder="1" applyAlignment="1">
      <alignment/>
    </xf>
    <xf numFmtId="180" fontId="8" fillId="35" borderId="51" xfId="0" applyNumberFormat="1" applyFont="1" applyFill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52" xfId="0" applyBorder="1" applyAlignment="1">
      <alignment/>
    </xf>
    <xf numFmtId="164" fontId="0" fillId="0" borderId="24" xfId="0" applyNumberFormat="1" applyBorder="1" applyAlignment="1">
      <alignment/>
    </xf>
    <xf numFmtId="188" fontId="0" fillId="0" borderId="24" xfId="0" applyNumberFormat="1" applyBorder="1" applyAlignment="1">
      <alignment/>
    </xf>
    <xf numFmtId="0" fontId="0" fillId="0" borderId="48" xfId="0" applyBorder="1" applyAlignment="1">
      <alignment/>
    </xf>
    <xf numFmtId="2" fontId="0" fillId="0" borderId="50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51" xfId="0" applyBorder="1" applyAlignment="1">
      <alignment/>
    </xf>
    <xf numFmtId="0" fontId="0" fillId="0" borderId="0" xfId="0" applyFill="1" applyBorder="1" applyAlignment="1">
      <alignment horizontal="right"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87" fontId="0" fillId="0" borderId="24" xfId="0" applyNumberFormat="1" applyBorder="1" applyAlignment="1">
      <alignment/>
    </xf>
    <xf numFmtId="0" fontId="0" fillId="0" borderId="49" xfId="0" applyBorder="1" applyAlignment="1">
      <alignment/>
    </xf>
    <xf numFmtId="2" fontId="0" fillId="0" borderId="55" xfId="0" applyNumberFormat="1" applyBorder="1" applyAlignment="1">
      <alignment/>
    </xf>
    <xf numFmtId="173" fontId="0" fillId="0" borderId="24" xfId="0" applyNumberFormat="1" applyBorder="1" applyAlignment="1">
      <alignment/>
    </xf>
    <xf numFmtId="190" fontId="0" fillId="0" borderId="24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50" xfId="0" applyBorder="1" applyAlignment="1">
      <alignment/>
    </xf>
    <xf numFmtId="0" fontId="0" fillId="0" borderId="55" xfId="0" applyBorder="1" applyAlignment="1">
      <alignment/>
    </xf>
    <xf numFmtId="173" fontId="0" fillId="0" borderId="20" xfId="0" applyNumberFormat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8" xfId="0" applyFill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34" borderId="22" xfId="0" applyFill="1" applyBorder="1" applyAlignment="1">
      <alignment horizontal="right"/>
    </xf>
    <xf numFmtId="0" fontId="0" fillId="34" borderId="26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164" fontId="0" fillId="33" borderId="56" xfId="0" applyNumberFormat="1" applyFill="1" applyBorder="1" applyAlignment="1">
      <alignment/>
    </xf>
    <xf numFmtId="9" fontId="0" fillId="0" borderId="24" xfId="0" applyNumberFormat="1" applyBorder="1" applyAlignment="1">
      <alignment/>
    </xf>
    <xf numFmtId="174" fontId="0" fillId="0" borderId="4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176" fontId="0" fillId="0" borderId="45" xfId="0" applyNumberFormat="1" applyBorder="1" applyAlignment="1">
      <alignment horizontal="right"/>
    </xf>
    <xf numFmtId="174" fontId="0" fillId="0" borderId="43" xfId="0" applyNumberFormat="1" applyBorder="1" applyAlignment="1">
      <alignment horizontal="right"/>
    </xf>
    <xf numFmtId="177" fontId="0" fillId="0" borderId="43" xfId="0" applyNumberFormat="1" applyBorder="1" applyAlignment="1">
      <alignment horizontal="right"/>
    </xf>
    <xf numFmtId="0" fontId="0" fillId="0" borderId="43" xfId="0" applyBorder="1" applyAlignment="1">
      <alignment horizontal="right"/>
    </xf>
    <xf numFmtId="175" fontId="0" fillId="0" borderId="43" xfId="0" applyNumberFormat="1" applyBorder="1" applyAlignment="1">
      <alignment horizontal="right"/>
    </xf>
    <xf numFmtId="179" fontId="0" fillId="0" borderId="43" xfId="0" applyNumberFormat="1" applyBorder="1" applyAlignment="1">
      <alignment horizontal="right"/>
    </xf>
    <xf numFmtId="0" fontId="0" fillId="0" borderId="42" xfId="0" applyBorder="1" applyAlignment="1">
      <alignment horizontal="right"/>
    </xf>
    <xf numFmtId="180" fontId="0" fillId="0" borderId="43" xfId="0" applyNumberFormat="1" applyBorder="1" applyAlignment="1">
      <alignment/>
    </xf>
    <xf numFmtId="177" fontId="0" fillId="0" borderId="43" xfId="0" applyNumberFormat="1" applyBorder="1" applyAlignment="1">
      <alignment/>
    </xf>
    <xf numFmtId="174" fontId="0" fillId="0" borderId="45" xfId="0" applyNumberFormat="1" applyBorder="1" applyAlignment="1">
      <alignment/>
    </xf>
    <xf numFmtId="175" fontId="0" fillId="0" borderId="43" xfId="0" applyNumberFormat="1" applyBorder="1" applyAlignment="1">
      <alignment/>
    </xf>
    <xf numFmtId="167" fontId="0" fillId="0" borderId="43" xfId="0" applyNumberFormat="1" applyBorder="1" applyAlignment="1">
      <alignment/>
    </xf>
    <xf numFmtId="179" fontId="0" fillId="0" borderId="43" xfId="0" applyNumberFormat="1" applyBorder="1" applyAlignment="1">
      <alignment/>
    </xf>
    <xf numFmtId="0" fontId="0" fillId="0" borderId="45" xfId="0" applyBorder="1" applyAlignment="1">
      <alignment horizontal="right"/>
    </xf>
    <xf numFmtId="0" fontId="0" fillId="34" borderId="51" xfId="0" applyFill="1" applyBorder="1" applyAlignment="1">
      <alignment/>
    </xf>
    <xf numFmtId="0" fontId="0" fillId="36" borderId="53" xfId="0" applyFill="1" applyBorder="1" applyAlignment="1">
      <alignment/>
    </xf>
    <xf numFmtId="0" fontId="0" fillId="36" borderId="54" xfId="0" applyFill="1" applyBorder="1" applyAlignment="1">
      <alignment/>
    </xf>
    <xf numFmtId="0" fontId="0" fillId="0" borderId="50" xfId="0" applyFill="1" applyBorder="1" applyAlignment="1">
      <alignment horizontal="right"/>
    </xf>
    <xf numFmtId="4" fontId="0" fillId="0" borderId="50" xfId="0" applyNumberFormat="1" applyBorder="1" applyAlignment="1">
      <alignment/>
    </xf>
    <xf numFmtId="0" fontId="0" fillId="0" borderId="48" xfId="0" applyFill="1" applyBorder="1" applyAlignment="1">
      <alignment/>
    </xf>
    <xf numFmtId="164" fontId="0" fillId="0" borderId="56" xfId="0" applyNumberFormat="1" applyBorder="1" applyAlignment="1">
      <alignment/>
    </xf>
    <xf numFmtId="164" fontId="0" fillId="0" borderId="36" xfId="0" applyNumberFormat="1" applyBorder="1" applyAlignment="1">
      <alignment/>
    </xf>
    <xf numFmtId="4" fontId="0" fillId="0" borderId="55" xfId="0" applyNumberFormat="1" applyBorder="1" applyAlignment="1">
      <alignment/>
    </xf>
    <xf numFmtId="0" fontId="0" fillId="0" borderId="57" xfId="0" applyBorder="1" applyAlignment="1">
      <alignment/>
    </xf>
    <xf numFmtId="0" fontId="7" fillId="0" borderId="27" xfId="0" applyFont="1" applyBorder="1" applyAlignment="1">
      <alignment/>
    </xf>
    <xf numFmtId="0" fontId="7" fillId="0" borderId="34" xfId="0" applyFont="1" applyBorder="1" applyAlignment="1">
      <alignment/>
    </xf>
    <xf numFmtId="0" fontId="0" fillId="0" borderId="27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58" xfId="0" applyBorder="1" applyAlignment="1">
      <alignment/>
    </xf>
    <xf numFmtId="0" fontId="6" fillId="34" borderId="47" xfId="0" applyFont="1" applyFill="1" applyBorder="1" applyAlignment="1">
      <alignment/>
    </xf>
    <xf numFmtId="0" fontId="8" fillId="34" borderId="47" xfId="0" applyFont="1" applyFill="1" applyBorder="1" applyAlignment="1">
      <alignment/>
    </xf>
    <xf numFmtId="0" fontId="0" fillId="0" borderId="59" xfId="0" applyBorder="1" applyAlignment="1">
      <alignment/>
    </xf>
    <xf numFmtId="190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90" fontId="0" fillId="0" borderId="38" xfId="0" applyNumberFormat="1" applyBorder="1" applyAlignment="1">
      <alignment/>
    </xf>
    <xf numFmtId="0" fontId="0" fillId="0" borderId="60" xfId="0" applyBorder="1" applyAlignment="1">
      <alignment/>
    </xf>
    <xf numFmtId="190" fontId="0" fillId="0" borderId="23" xfId="0" applyNumberFormat="1" applyBorder="1" applyAlignment="1">
      <alignment/>
    </xf>
    <xf numFmtId="190" fontId="0" fillId="0" borderId="23" xfId="0" applyNumberFormat="1" applyBorder="1" applyAlignment="1">
      <alignment horizontal="right"/>
    </xf>
    <xf numFmtId="0" fontId="0" fillId="0" borderId="25" xfId="0" applyBorder="1" applyAlignment="1">
      <alignment/>
    </xf>
    <xf numFmtId="174" fontId="0" fillId="0" borderId="0" xfId="0" applyNumberFormat="1" applyBorder="1" applyAlignment="1">
      <alignment/>
    </xf>
    <xf numFmtId="174" fontId="0" fillId="0" borderId="24" xfId="0" applyNumberFormat="1" applyFill="1" applyBorder="1" applyAlignment="1">
      <alignment horizontal="right"/>
    </xf>
    <xf numFmtId="0" fontId="6" fillId="34" borderId="49" xfId="0" applyFont="1" applyFill="1" applyBorder="1" applyAlignment="1">
      <alignment/>
    </xf>
    <xf numFmtId="0" fontId="0" fillId="37" borderId="51" xfId="0" applyFill="1" applyBorder="1" applyAlignment="1">
      <alignment/>
    </xf>
    <xf numFmtId="164" fontId="9" fillId="0" borderId="24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10" fillId="0" borderId="24" xfId="0" applyNumberFormat="1" applyFont="1" applyBorder="1" applyAlignment="1">
      <alignment/>
    </xf>
    <xf numFmtId="191" fontId="5" fillId="0" borderId="0" xfId="0" applyNumberFormat="1" applyFont="1" applyAlignment="1">
      <alignment/>
    </xf>
    <xf numFmtId="187" fontId="0" fillId="0" borderId="43" xfId="0" applyNumberFormat="1" applyBorder="1" applyAlignment="1">
      <alignment/>
    </xf>
    <xf numFmtId="164" fontId="5" fillId="0" borderId="0" xfId="0" applyNumberFormat="1" applyFont="1" applyFill="1" applyAlignment="1">
      <alignment/>
    </xf>
    <xf numFmtId="164" fontId="0" fillId="33" borderId="55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164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43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36" xfId="0" applyFont="1" applyBorder="1" applyAlignment="1">
      <alignment/>
    </xf>
    <xf numFmtId="193" fontId="5" fillId="0" borderId="0" xfId="0" applyNumberFormat="1" applyFont="1" applyAlignment="1">
      <alignment/>
    </xf>
    <xf numFmtId="0" fontId="10" fillId="34" borderId="47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49" xfId="0" applyFont="1" applyFill="1" applyBorder="1" applyAlignment="1">
      <alignment horizontal="center"/>
    </xf>
    <xf numFmtId="185" fontId="7" fillId="33" borderId="50" xfId="0" applyNumberFormat="1" applyFont="1" applyFill="1" applyBorder="1" applyAlignment="1">
      <alignment horizontal="right"/>
    </xf>
    <xf numFmtId="182" fontId="7" fillId="33" borderId="5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2" fontId="0" fillId="0" borderId="56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61" xfId="0" applyNumberFormat="1" applyBorder="1" applyAlignment="1">
      <alignment/>
    </xf>
    <xf numFmtId="0" fontId="0" fillId="0" borderId="44" xfId="0" applyFill="1" applyBorder="1" applyAlignment="1">
      <alignment/>
    </xf>
    <xf numFmtId="4" fontId="0" fillId="0" borderId="48" xfId="0" applyNumberFormat="1" applyBorder="1" applyAlignment="1">
      <alignment/>
    </xf>
    <xf numFmtId="4" fontId="0" fillId="0" borderId="46" xfId="0" applyNumberFormat="1" applyBorder="1" applyAlignment="1">
      <alignment/>
    </xf>
    <xf numFmtId="2" fontId="0" fillId="0" borderId="43" xfId="0" applyNumberFormat="1" applyBorder="1" applyAlignment="1">
      <alignment/>
    </xf>
    <xf numFmtId="0" fontId="0" fillId="0" borderId="62" xfId="0" applyBorder="1" applyAlignment="1">
      <alignment/>
    </xf>
    <xf numFmtId="188" fontId="0" fillId="0" borderId="33" xfId="0" applyNumberFormat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/>
    </xf>
    <xf numFmtId="194" fontId="0" fillId="0" borderId="49" xfId="0" applyNumberFormat="1" applyBorder="1" applyAlignment="1">
      <alignment/>
    </xf>
    <xf numFmtId="194" fontId="0" fillId="0" borderId="55" xfId="0" applyNumberFormat="1" applyBorder="1" applyAlignment="1">
      <alignment/>
    </xf>
    <xf numFmtId="0" fontId="0" fillId="0" borderId="62" xfId="0" applyFill="1" applyBorder="1" applyAlignment="1">
      <alignment/>
    </xf>
    <xf numFmtId="194" fontId="0" fillId="0" borderId="33" xfId="0" applyNumberFormat="1" applyBorder="1" applyAlignment="1">
      <alignment/>
    </xf>
    <xf numFmtId="0" fontId="6" fillId="0" borderId="53" xfId="0" applyFont="1" applyBorder="1" applyAlignment="1">
      <alignment/>
    </xf>
    <xf numFmtId="2" fontId="0" fillId="0" borderId="26" xfId="0" applyNumberFormat="1" applyBorder="1" applyAlignment="1">
      <alignment/>
    </xf>
    <xf numFmtId="0" fontId="0" fillId="0" borderId="63" xfId="0" applyBorder="1" applyAlignment="1">
      <alignment/>
    </xf>
    <xf numFmtId="187" fontId="7" fillId="33" borderId="55" xfId="0" applyNumberFormat="1" applyFont="1" applyFill="1" applyBorder="1" applyAlignment="1">
      <alignment horizontal="right"/>
    </xf>
    <xf numFmtId="0" fontId="7" fillId="33" borderId="48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0" fillId="34" borderId="24" xfId="0" applyFill="1" applyBorder="1" applyAlignment="1">
      <alignment horizontal="center"/>
    </xf>
    <xf numFmtId="0" fontId="0" fillId="34" borderId="50" xfId="0" applyFill="1" applyBorder="1" applyAlignment="1">
      <alignment horizontal="right"/>
    </xf>
    <xf numFmtId="0" fontId="0" fillId="34" borderId="48" xfId="0" applyFill="1" applyBorder="1" applyAlignment="1">
      <alignment/>
    </xf>
    <xf numFmtId="187" fontId="7" fillId="33" borderId="50" xfId="0" applyNumberFormat="1" applyFont="1" applyFill="1" applyBorder="1" applyAlignment="1">
      <alignment horizontal="right"/>
    </xf>
    <xf numFmtId="164" fontId="0" fillId="0" borderId="13" xfId="0" applyNumberFormat="1" applyBorder="1" applyAlignment="1">
      <alignment horizontal="center"/>
    </xf>
    <xf numFmtId="0" fontId="0" fillId="35" borderId="46" xfId="0" applyFill="1" applyBorder="1" applyAlignment="1">
      <alignment/>
    </xf>
    <xf numFmtId="0" fontId="0" fillId="35" borderId="55" xfId="0" applyFill="1" applyBorder="1" applyAlignment="1">
      <alignment/>
    </xf>
    <xf numFmtId="181" fontId="7" fillId="33" borderId="24" xfId="0" applyNumberFormat="1" applyFont="1" applyFill="1" applyBorder="1" applyAlignment="1">
      <alignment horizontal="center"/>
    </xf>
    <xf numFmtId="181" fontId="7" fillId="33" borderId="5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58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5" fontId="8" fillId="38" borderId="46" xfId="0" applyNumberFormat="1" applyFont="1" applyFill="1" applyBorder="1" applyAlignment="1">
      <alignment horizontal="center"/>
    </xf>
    <xf numFmtId="188" fontId="8" fillId="38" borderId="56" xfId="0" applyNumberFormat="1" applyFont="1" applyFill="1" applyBorder="1" applyAlignment="1">
      <alignment horizontal="center"/>
    </xf>
    <xf numFmtId="173" fontId="8" fillId="38" borderId="55" xfId="0" applyNumberFormat="1" applyFont="1" applyFill="1" applyBorder="1" applyAlignment="1">
      <alignment horizontal="center"/>
    </xf>
    <xf numFmtId="0" fontId="5" fillId="34" borderId="63" xfId="0" applyFont="1" applyFill="1" applyBorder="1" applyAlignment="1">
      <alignment horizontal="left"/>
    </xf>
    <xf numFmtId="0" fontId="0" fillId="0" borderId="0" xfId="0" applyFont="1" applyAlignment="1">
      <alignment/>
    </xf>
    <xf numFmtId="195" fontId="7" fillId="33" borderId="64" xfId="0" applyNumberFormat="1" applyFont="1" applyFill="1" applyBorder="1" applyAlignment="1">
      <alignment horizontal="center"/>
    </xf>
    <xf numFmtId="10" fontId="6" fillId="33" borderId="18" xfId="0" applyNumberFormat="1" applyFont="1" applyFill="1" applyBorder="1" applyAlignment="1">
      <alignment horizontal="center"/>
    </xf>
    <xf numFmtId="0" fontId="5" fillId="34" borderId="6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34" borderId="63" xfId="0" applyFont="1" applyFill="1" applyBorder="1" applyAlignment="1">
      <alignment/>
    </xf>
    <xf numFmtId="164" fontId="13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81" fontId="7" fillId="0" borderId="49" xfId="0" applyNumberFormat="1" applyFont="1" applyBorder="1" applyAlignment="1" applyProtection="1">
      <alignment horizontal="right"/>
      <protection locked="0"/>
    </xf>
    <xf numFmtId="181" fontId="7" fillId="0" borderId="50" xfId="0" applyNumberFormat="1" applyFont="1" applyBorder="1" applyAlignment="1" applyProtection="1">
      <alignment horizontal="right"/>
      <protection locked="0"/>
    </xf>
    <xf numFmtId="181" fontId="7" fillId="0" borderId="55" xfId="0" applyNumberFormat="1" applyFont="1" applyBorder="1" applyAlignment="1" applyProtection="1">
      <alignment horizontal="right"/>
      <protection locked="0"/>
    </xf>
    <xf numFmtId="182" fontId="7" fillId="0" borderId="49" xfId="0" applyNumberFormat="1" applyFont="1" applyBorder="1" applyAlignment="1" applyProtection="1">
      <alignment horizontal="right"/>
      <protection locked="0"/>
    </xf>
    <xf numFmtId="0" fontId="7" fillId="0" borderId="49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169" fontId="7" fillId="0" borderId="49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/>
      <protection locked="0"/>
    </xf>
    <xf numFmtId="195" fontId="7" fillId="39" borderId="64" xfId="0" applyNumberFormat="1" applyFont="1" applyFill="1" applyBorder="1" applyAlignment="1" applyProtection="1">
      <alignment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7" fillId="33" borderId="24" xfId="0" applyFont="1" applyFill="1" applyBorder="1" applyAlignment="1">
      <alignment/>
    </xf>
    <xf numFmtId="10" fontId="7" fillId="0" borderId="0" xfId="0" applyNumberFormat="1" applyFont="1" applyAlignment="1">
      <alignment/>
    </xf>
    <xf numFmtId="0" fontId="7" fillId="33" borderId="47" xfId="0" applyFont="1" applyFill="1" applyBorder="1" applyAlignment="1">
      <alignment/>
    </xf>
    <xf numFmtId="164" fontId="7" fillId="33" borderId="1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7" fillId="33" borderId="15" xfId="0" applyFont="1" applyFill="1" applyBorder="1" applyAlignment="1">
      <alignment/>
    </xf>
    <xf numFmtId="164" fontId="7" fillId="33" borderId="49" xfId="0" applyNumberFormat="1" applyFont="1" applyFill="1" applyBorder="1" applyAlignment="1">
      <alignment/>
    </xf>
    <xf numFmtId="164" fontId="7" fillId="33" borderId="50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7" fillId="33" borderId="56" xfId="0" applyFont="1" applyFill="1" applyBorder="1" applyAlignment="1">
      <alignment/>
    </xf>
    <xf numFmtId="164" fontId="7" fillId="33" borderId="55" xfId="0" applyNumberFormat="1" applyFont="1" applyFill="1" applyBorder="1" applyAlignment="1">
      <alignment/>
    </xf>
    <xf numFmtId="164" fontId="7" fillId="33" borderId="56" xfId="0" applyNumberFormat="1" applyFont="1" applyFill="1" applyBorder="1" applyAlignment="1">
      <alignment/>
    </xf>
    <xf numFmtId="0" fontId="5" fillId="0" borderId="36" xfId="0" applyFont="1" applyBorder="1" applyAlignment="1">
      <alignment/>
    </xf>
    <xf numFmtId="0" fontId="0" fillId="34" borderId="15" xfId="0" applyFill="1" applyBorder="1" applyAlignment="1">
      <alignment horizontal="left"/>
    </xf>
    <xf numFmtId="0" fontId="0" fillId="34" borderId="49" xfId="0" applyFill="1" applyBorder="1" applyAlignment="1">
      <alignment horizontal="right"/>
    </xf>
    <xf numFmtId="0" fontId="6" fillId="38" borderId="47" xfId="0" applyFont="1" applyFill="1" applyBorder="1" applyAlignment="1">
      <alignment horizontal="center"/>
    </xf>
    <xf numFmtId="0" fontId="6" fillId="38" borderId="49" xfId="0" applyFont="1" applyFill="1" applyBorder="1" applyAlignment="1">
      <alignment horizontal="center"/>
    </xf>
    <xf numFmtId="0" fontId="6" fillId="38" borderId="53" xfId="0" applyFont="1" applyFill="1" applyBorder="1" applyAlignment="1">
      <alignment horizontal="center"/>
    </xf>
    <xf numFmtId="0" fontId="6" fillId="38" borderId="58" xfId="0" applyFont="1" applyFill="1" applyBorder="1" applyAlignment="1">
      <alignment horizontal="center"/>
    </xf>
    <xf numFmtId="0" fontId="6" fillId="38" borderId="54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8" fillId="38" borderId="53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38" borderId="54" xfId="0" applyFont="1" applyFill="1" applyBorder="1" applyAlignment="1">
      <alignment horizontal="center"/>
    </xf>
    <xf numFmtId="0" fontId="11" fillId="38" borderId="44" xfId="0" applyFont="1" applyFill="1" applyBorder="1" applyAlignment="1">
      <alignment horizontal="center" vertical="center"/>
    </xf>
    <xf numFmtId="0" fontId="0" fillId="38" borderId="45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0" fillId="38" borderId="43" xfId="0" applyFont="1" applyFill="1" applyBorder="1" applyAlignment="1">
      <alignment/>
    </xf>
    <xf numFmtId="0" fontId="0" fillId="38" borderId="34" xfId="0" applyFont="1" applyFill="1" applyBorder="1" applyAlignment="1">
      <alignment/>
    </xf>
    <xf numFmtId="0" fontId="0" fillId="38" borderId="42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5" fillId="34" borderId="19" xfId="0" applyFont="1" applyFill="1" applyBorder="1" applyAlignment="1">
      <alignment/>
    </xf>
    <xf numFmtId="0" fontId="0" fillId="0" borderId="22" xfId="0" applyBorder="1" applyAlignment="1">
      <alignment/>
    </xf>
    <xf numFmtId="0" fontId="7" fillId="0" borderId="67" xfId="0" applyFont="1" applyFill="1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6" fillId="38" borderId="44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6" fillId="38" borderId="45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6" fillId="40" borderId="44" xfId="0" applyFont="1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40" borderId="27" xfId="0" applyFill="1" applyBorder="1" applyAlignment="1">
      <alignment horizontal="center" vertical="center"/>
    </xf>
    <xf numFmtId="0" fontId="0" fillId="40" borderId="43" xfId="0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8" fillId="40" borderId="53" xfId="0" applyFont="1" applyFill="1" applyBorder="1" applyAlignment="1">
      <alignment horizontal="center"/>
    </xf>
    <xf numFmtId="0" fontId="0" fillId="40" borderId="54" xfId="0" applyFill="1" applyBorder="1" applyAlignment="1">
      <alignment horizontal="center"/>
    </xf>
    <xf numFmtId="0" fontId="0" fillId="33" borderId="2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/>
    </xf>
    <xf numFmtId="0" fontId="8" fillId="33" borderId="64" xfId="0" applyFont="1" applyFill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40" borderId="44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8" fillId="40" borderId="45" xfId="0" applyFont="1" applyFill="1" applyBorder="1" applyAlignment="1">
      <alignment horizontal="center" vertical="center"/>
    </xf>
    <xf numFmtId="0" fontId="8" fillId="40" borderId="34" xfId="0" applyFont="1" applyFill="1" applyBorder="1" applyAlignment="1">
      <alignment horizontal="center" vertical="center"/>
    </xf>
    <xf numFmtId="0" fontId="8" fillId="40" borderId="36" xfId="0" applyFont="1" applyFill="1" applyBorder="1" applyAlignment="1">
      <alignment horizontal="center" vertical="center"/>
    </xf>
    <xf numFmtId="0" fontId="8" fillId="40" borderId="42" xfId="0" applyFont="1" applyFill="1" applyBorder="1" applyAlignment="1">
      <alignment horizontal="center" vertical="center"/>
    </xf>
    <xf numFmtId="0" fontId="0" fillId="41" borderId="44" xfId="0" applyFont="1" applyFill="1" applyBorder="1" applyAlignment="1" applyProtection="1">
      <alignment horizontal="center" vertical="top" wrapText="1"/>
      <protection hidden="1"/>
    </xf>
    <xf numFmtId="0" fontId="0" fillId="41" borderId="13" xfId="0" applyFont="1" applyFill="1" applyBorder="1" applyAlignment="1" applyProtection="1">
      <alignment horizontal="center" vertical="top" wrapText="1"/>
      <protection hidden="1"/>
    </xf>
    <xf numFmtId="0" fontId="0" fillId="41" borderId="45" xfId="0" applyFont="1" applyFill="1" applyBorder="1" applyAlignment="1" applyProtection="1">
      <alignment horizontal="center" vertical="top" wrapText="1"/>
      <protection hidden="1"/>
    </xf>
    <xf numFmtId="0" fontId="0" fillId="41" borderId="27" xfId="0" applyFont="1" applyFill="1" applyBorder="1" applyAlignment="1" applyProtection="1">
      <alignment horizontal="center" vertical="top" wrapText="1"/>
      <protection hidden="1"/>
    </xf>
    <xf numFmtId="0" fontId="0" fillId="41" borderId="0" xfId="0" applyFont="1" applyFill="1" applyBorder="1" applyAlignment="1" applyProtection="1">
      <alignment horizontal="center" vertical="top" wrapText="1"/>
      <protection hidden="1"/>
    </xf>
    <xf numFmtId="0" fontId="0" fillId="41" borderId="43" xfId="0" applyFont="1" applyFill="1" applyBorder="1" applyAlignment="1" applyProtection="1">
      <alignment horizontal="center" vertical="top" wrapText="1"/>
      <protection hidden="1"/>
    </xf>
    <xf numFmtId="0" fontId="58" fillId="42" borderId="53" xfId="0" applyFont="1" applyFill="1" applyBorder="1" applyAlignment="1" applyProtection="1">
      <alignment horizontal="center" vertical="top" wrapText="1"/>
      <protection hidden="1"/>
    </xf>
    <xf numFmtId="0" fontId="58" fillId="42" borderId="58" xfId="0" applyFont="1" applyFill="1" applyBorder="1" applyAlignment="1" applyProtection="1">
      <alignment horizontal="center" vertical="top" wrapText="1"/>
      <protection hidden="1"/>
    </xf>
    <xf numFmtId="0" fontId="58" fillId="42" borderId="54" xfId="0" applyFont="1" applyFill="1" applyBorder="1" applyAlignment="1" applyProtection="1">
      <alignment horizontal="center" vertical="top" wrapText="1"/>
      <protection hidden="1"/>
    </xf>
    <xf numFmtId="0" fontId="57" fillId="43" borderId="44" xfId="0" applyFont="1" applyFill="1" applyBorder="1" applyAlignment="1">
      <alignment horizontal="left"/>
    </xf>
    <xf numFmtId="0" fontId="57" fillId="43" borderId="13" xfId="0" applyFont="1" applyFill="1" applyBorder="1" applyAlignment="1">
      <alignment horizontal="left"/>
    </xf>
    <xf numFmtId="0" fontId="57" fillId="43" borderId="45" xfId="0" applyFont="1" applyFill="1" applyBorder="1" applyAlignment="1">
      <alignment horizontal="left"/>
    </xf>
    <xf numFmtId="0" fontId="0" fillId="43" borderId="27" xfId="0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6" xfId="0" applyFill="1" applyBorder="1" applyAlignment="1">
      <alignment/>
    </xf>
    <xf numFmtId="0" fontId="0" fillId="43" borderId="42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ont>
        <color theme="0"/>
      </font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685"/>
          <c:w val="0.94875"/>
          <c:h val="0.863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Programa!$B$50:$CW$50</c:f>
              <c:numCache/>
            </c:numRef>
          </c:val>
        </c:ser>
        <c:axId val="47281395"/>
        <c:axId val="22879372"/>
      </c:areaChart>
      <c:catAx>
        <c:axId val="47281395"/>
        <c:scaling>
          <c:orientation val="minMax"/>
        </c:scaling>
        <c:axPos val="b"/>
        <c:delete val="1"/>
        <c:majorTickMark val="out"/>
        <c:minorTickMark val="none"/>
        <c:tickLblPos val="nextTo"/>
        <c:crossAx val="22879372"/>
        <c:crosses val="autoZero"/>
        <c:auto val="1"/>
        <c:lblOffset val="100"/>
        <c:tickLblSkip val="1"/>
        <c:noMultiLvlLbl val="0"/>
      </c:catAx>
      <c:valAx>
        <c:axId val="22879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13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6275"/>
          <c:w val="0.94875"/>
          <c:h val="0.874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Programa!$B$51:$CW$51</c:f>
              <c:numCache/>
            </c:numRef>
          </c:val>
        </c:ser>
        <c:axId val="4587757"/>
        <c:axId val="41289814"/>
      </c:areaChart>
      <c:catAx>
        <c:axId val="4587757"/>
        <c:scaling>
          <c:orientation val="minMax"/>
        </c:scaling>
        <c:axPos val="b"/>
        <c:delete val="1"/>
        <c:majorTickMark val="out"/>
        <c:minorTickMark val="none"/>
        <c:tickLblPos val="nextTo"/>
        <c:crossAx val="41289814"/>
        <c:crosses val="autoZero"/>
        <c:auto val="1"/>
        <c:lblOffset val="100"/>
        <c:tickLblSkip val="1"/>
        <c:noMultiLvlLbl val="0"/>
      </c:catAx>
      <c:valAx>
        <c:axId val="41289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77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6525"/>
          <c:w val="0.94875"/>
          <c:h val="0.869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Programa!$B$52:$CW$52</c:f>
              <c:numCache/>
            </c:numRef>
          </c:val>
        </c:ser>
        <c:axId val="36064007"/>
        <c:axId val="56140608"/>
      </c:areaChart>
      <c:catAx>
        <c:axId val="36064007"/>
        <c:scaling>
          <c:orientation val="minMax"/>
        </c:scaling>
        <c:axPos val="b"/>
        <c:delete val="1"/>
        <c:majorTickMark val="out"/>
        <c:minorTickMark val="none"/>
        <c:tickLblPos val="nextTo"/>
        <c:crossAx val="56140608"/>
        <c:crosses val="autoZero"/>
        <c:auto val="1"/>
        <c:lblOffset val="100"/>
        <c:tickLblSkip val="1"/>
        <c:noMultiLvlLbl val="0"/>
      </c:catAx>
      <c:valAx>
        <c:axId val="56140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640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Ayuda!A1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image" Target="../media/image2.png" /><Relationship Id="rId7" Type="http://schemas.openxmlformats.org/officeDocument/2006/relationships/hyperlink" Target="https://www.linkedin.com/groups/Herramientas-Calculo-T%C3%A9rmico-6774409/about" TargetMode="External" /><Relationship Id="rId8" Type="http://schemas.openxmlformats.org/officeDocument/2006/relationships/hyperlink" Target="https://www.linkedin.com/groups/Herramientas-Calculo-T%C3%A9rmico-6774409/about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3</xdr:col>
      <xdr:colOff>742950</xdr:colOff>
      <xdr:row>15</xdr:row>
      <xdr:rowOff>47625</xdr:rowOff>
    </xdr:to>
    <xdr:pic>
      <xdr:nvPicPr>
        <xdr:cNvPr id="1" name="Picture 5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61950"/>
          <a:ext cx="23526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36</xdr:row>
      <xdr:rowOff>152400</xdr:rowOff>
    </xdr:from>
    <xdr:to>
      <xdr:col>7</xdr:col>
      <xdr:colOff>0</xdr:colOff>
      <xdr:row>37</xdr:row>
      <xdr:rowOff>161925</xdr:rowOff>
    </xdr:to>
    <xdr:sp>
      <xdr:nvSpPr>
        <xdr:cNvPr id="2" name="Rectangle 40">
          <a:hlinkClick r:id="rId2"/>
        </xdr:cNvPr>
        <xdr:cNvSpPr>
          <a:spLocks/>
        </xdr:cNvSpPr>
      </xdr:nvSpPr>
      <xdr:spPr>
        <a:xfrm>
          <a:off x="2609850" y="5305425"/>
          <a:ext cx="1581150" cy="1714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AYUDA</a:t>
          </a:r>
        </a:p>
      </xdr:txBody>
    </xdr:sp>
    <xdr:clientData/>
  </xdr:twoCellAnchor>
  <xdr:twoCellAnchor>
    <xdr:from>
      <xdr:col>9</xdr:col>
      <xdr:colOff>9525</xdr:colOff>
      <xdr:row>14</xdr:row>
      <xdr:rowOff>0</xdr:rowOff>
    </xdr:from>
    <xdr:to>
      <xdr:col>14</xdr:col>
      <xdr:colOff>9525</xdr:colOff>
      <xdr:row>24</xdr:row>
      <xdr:rowOff>0</xdr:rowOff>
    </xdr:to>
    <xdr:graphicFrame>
      <xdr:nvGraphicFramePr>
        <xdr:cNvPr id="3" name="Chart 49"/>
        <xdr:cNvGraphicFramePr/>
      </xdr:nvGraphicFramePr>
      <xdr:xfrm>
        <a:off x="6486525" y="1876425"/>
        <a:ext cx="3810000" cy="1476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</xdr:row>
      <xdr:rowOff>9525</xdr:rowOff>
    </xdr:from>
    <xdr:to>
      <xdr:col>14</xdr:col>
      <xdr:colOff>9525</xdr:colOff>
      <xdr:row>12</xdr:row>
      <xdr:rowOff>57150</xdr:rowOff>
    </xdr:to>
    <xdr:graphicFrame>
      <xdr:nvGraphicFramePr>
        <xdr:cNvPr id="4" name="Chart 55"/>
        <xdr:cNvGraphicFramePr/>
      </xdr:nvGraphicFramePr>
      <xdr:xfrm>
        <a:off x="6486525" y="104775"/>
        <a:ext cx="3810000" cy="1600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28</xdr:row>
      <xdr:rowOff>0</xdr:rowOff>
    </xdr:from>
    <xdr:to>
      <xdr:col>14</xdr:col>
      <xdr:colOff>9525</xdr:colOff>
      <xdr:row>37</xdr:row>
      <xdr:rowOff>161925</xdr:rowOff>
    </xdr:to>
    <xdr:graphicFrame>
      <xdr:nvGraphicFramePr>
        <xdr:cNvPr id="5" name="Chart 60"/>
        <xdr:cNvGraphicFramePr/>
      </xdr:nvGraphicFramePr>
      <xdr:xfrm>
        <a:off x="6486525" y="3933825"/>
        <a:ext cx="3810000" cy="1543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9</xdr:col>
      <xdr:colOff>95250</xdr:colOff>
      <xdr:row>44</xdr:row>
      <xdr:rowOff>28575</xdr:rowOff>
    </xdr:from>
    <xdr:to>
      <xdr:col>10</xdr:col>
      <xdr:colOff>419100</xdr:colOff>
      <xdr:row>45</xdr:row>
      <xdr:rowOff>161925</xdr:rowOff>
    </xdr:to>
    <xdr:pic>
      <xdr:nvPicPr>
        <xdr:cNvPr id="6" name="Imagen 6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0" y="6553200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19050</xdr:rowOff>
    </xdr:from>
    <xdr:to>
      <xdr:col>3</xdr:col>
      <xdr:colOff>733425</xdr:colOff>
      <xdr:row>14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61950"/>
          <a:ext cx="2219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9525</xdr:rowOff>
    </xdr:from>
    <xdr:to>
      <xdr:col>16</xdr:col>
      <xdr:colOff>742950</xdr:colOff>
      <xdr:row>38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19650" y="104775"/>
          <a:ext cx="6838950" cy="537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Notas a la Version 1.2  Abril 2008: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presente aplicación es un intento de agilizar los calculos de comprobación de VIGAS DE ACERO SOMETIDAS A FLEXION SIMPLE, no es por tanto una herramienta de calculo propiamente y sus resultados deben ser evaluados por el responsable de la estructura.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Instrucciones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Rellenar tan solo los cuadros en blanco.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 parte de los valores están tabulados y solo se pueden modificar desde la pestaña Datos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aplicación busca el primer perfil de la serie seleccionada que cumpla el modulo resistente (W) e inercia (I) del calculo realizado. Mediante el apartado PRONTUARIO, se puede comprobar los datos de los perfiles mediante el apartado de Prontuario y deducir si el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dimensionado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realiza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limite de resistencia o deformación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la viga.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% de aprovechamiento se refiere a la tensión solicitada en relación a la resistente por el perfil.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aplicación no pretende ser un programa de calculo, sino de comprobación. El calculo lo realiza de forma directa mediante el formulario del CEDEX, estableciendo las siguientes simplificaciones: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viga siempre se considera de izquierda a derecha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tanto para las coacciones en apoyos como para localizar la carga 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la presente versión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se considera el peso de la viga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pero si se aporta como dato y se puede introducir como carga adicional sobre la viga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evaluan las solicitaciones cada 10cm de viga hasta un máximo de 10 metros así como en los cuatros puntos singulares de la viga: los 2 extremos y los puntos donde el momento de la carga Q y la carga P son máximos. El valor que se refleja es el mayor de ellos para cada caso.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D- La aplicación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 realiza comprobación a cortante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Aparecen en color gris los resultados parciales, y en naranja los totales, inluido el perfil resultante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la parte inferior de la imagen se muestran las solicitaciones de dimensionado del perfil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la parte inferior de la aplicación se indican las solicitaciones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flecha máximas, así como las requeridas en función de la coordenada x que se introduzca.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52"/>
  <sheetViews>
    <sheetView tabSelected="1" zoomScale="95" zoomScaleNormal="95" zoomScalePageLayoutView="0" workbookViewId="0" topLeftCell="A1">
      <selection activeCell="S34" sqref="S34"/>
    </sheetView>
  </sheetViews>
  <sheetFormatPr defaultColWidth="11.421875" defaultRowHeight="12.75"/>
  <cols>
    <col min="1" max="1" width="2.140625" style="0" customWidth="1"/>
    <col min="3" max="3" width="13.00390625" style="0" customWidth="1"/>
    <col min="5" max="5" width="1.1484375" style="0" customWidth="1"/>
    <col min="6" max="7" width="11.8515625" style="0" customWidth="1"/>
    <col min="8" max="8" width="9.140625" style="0" customWidth="1"/>
    <col min="9" max="9" width="25.140625" style="0" customWidth="1"/>
    <col min="15" max="15" width="17.421875" style="214" customWidth="1"/>
  </cols>
  <sheetData>
    <row r="1" ht="7.5" customHeight="1" thickBot="1">
      <c r="E1" s="49"/>
    </row>
    <row r="2" spans="1:15" ht="13.5" thickBot="1">
      <c r="A2" s="47"/>
      <c r="B2" s="284" t="s">
        <v>52</v>
      </c>
      <c r="C2" s="290"/>
      <c r="D2" s="291"/>
      <c r="E2" s="213"/>
      <c r="F2" s="289" t="s">
        <v>401</v>
      </c>
      <c r="G2" s="292"/>
      <c r="I2" s="221"/>
      <c r="O2" s="98" t="s">
        <v>386</v>
      </c>
    </row>
    <row r="3" spans="2:9" ht="6" customHeight="1" thickBot="1">
      <c r="B3" s="50"/>
      <c r="C3" s="49"/>
      <c r="D3" s="49"/>
      <c r="E3" s="49"/>
      <c r="F3" s="49"/>
      <c r="G3" s="51"/>
      <c r="I3" s="221"/>
    </row>
    <row r="4" spans="2:9" ht="12.75">
      <c r="B4" s="53"/>
      <c r="C4" s="5"/>
      <c r="D4" s="54"/>
      <c r="E4" s="49"/>
      <c r="F4" s="64" t="s">
        <v>55</v>
      </c>
      <c r="G4" s="238">
        <v>5.55</v>
      </c>
      <c r="I4" s="233">
        <f>IF(G4&gt;10,"L max 10 metros","")</f>
      </c>
    </row>
    <row r="5" spans="2:9" ht="12.75">
      <c r="B5" s="50"/>
      <c r="C5" s="49"/>
      <c r="D5" s="51"/>
      <c r="E5" s="49"/>
      <c r="F5" s="65" t="s">
        <v>56</v>
      </c>
      <c r="G5" s="239">
        <v>0</v>
      </c>
      <c r="I5" s="234"/>
    </row>
    <row r="6" spans="2:9" ht="13.5" thickBot="1">
      <c r="B6" s="50"/>
      <c r="C6" s="49"/>
      <c r="D6" s="51"/>
      <c r="E6" s="49"/>
      <c r="F6" s="66" t="s">
        <v>57</v>
      </c>
      <c r="G6" s="240">
        <v>2.5</v>
      </c>
      <c r="I6" s="234"/>
    </row>
    <row r="7" spans="2:9" ht="5.25" customHeight="1" thickBot="1">
      <c r="B7" s="50"/>
      <c r="C7" s="49"/>
      <c r="D7" s="51"/>
      <c r="E7" s="49"/>
      <c r="F7" s="62"/>
      <c r="G7" s="67"/>
      <c r="I7" s="234"/>
    </row>
    <row r="8" spans="2:9" ht="12.75">
      <c r="B8" s="50"/>
      <c r="C8" s="49"/>
      <c r="D8" s="51"/>
      <c r="E8" s="49"/>
      <c r="F8" s="64" t="s">
        <v>62</v>
      </c>
      <c r="G8" s="241">
        <v>0</v>
      </c>
      <c r="I8" s="234"/>
    </row>
    <row r="9" spans="2:9" ht="13.5" thickBot="1">
      <c r="B9" s="50"/>
      <c r="C9" s="49"/>
      <c r="D9" s="51"/>
      <c r="E9" s="49"/>
      <c r="F9" s="61" t="s">
        <v>8</v>
      </c>
      <c r="G9" s="240">
        <v>0</v>
      </c>
      <c r="I9" s="233">
        <f>IF(G9&gt;G4,"Dato no valido. d &gt; L","")</f>
      </c>
    </row>
    <row r="10" spans="2:9" ht="6" customHeight="1" thickBot="1">
      <c r="B10" s="50"/>
      <c r="C10" s="49"/>
      <c r="D10" s="51"/>
      <c r="E10" s="49"/>
      <c r="F10" s="55"/>
      <c r="G10" s="68"/>
      <c r="I10" s="234"/>
    </row>
    <row r="11" spans="2:9" ht="12.75">
      <c r="B11" s="50"/>
      <c r="C11" s="49"/>
      <c r="D11" s="51"/>
      <c r="E11" s="49"/>
      <c r="F11" s="64" t="s">
        <v>54</v>
      </c>
      <c r="G11" s="242" t="s">
        <v>93</v>
      </c>
      <c r="I11" s="234"/>
    </row>
    <row r="12" spans="2:9" ht="13.5" thickBot="1">
      <c r="B12" s="50"/>
      <c r="C12" s="49"/>
      <c r="D12" s="51"/>
      <c r="E12" s="49"/>
      <c r="F12" s="66" t="s">
        <v>58</v>
      </c>
      <c r="G12" s="243" t="s">
        <v>97</v>
      </c>
      <c r="I12" s="234"/>
    </row>
    <row r="13" spans="2:9" ht="5.25" customHeight="1" thickBot="1">
      <c r="B13" s="50"/>
      <c r="C13" s="49"/>
      <c r="D13" s="51"/>
      <c r="E13" s="49"/>
      <c r="F13" s="59"/>
      <c r="G13" s="68"/>
      <c r="I13" s="234"/>
    </row>
    <row r="14" spans="2:9" ht="12.75">
      <c r="B14" s="50"/>
      <c r="C14" s="49"/>
      <c r="D14" s="51"/>
      <c r="E14" s="49"/>
      <c r="F14" s="64" t="s">
        <v>368</v>
      </c>
      <c r="G14" s="244">
        <v>1</v>
      </c>
      <c r="I14" s="234"/>
    </row>
    <row r="15" spans="2:15" ht="13.5" thickBot="1">
      <c r="B15" s="50"/>
      <c r="C15" s="49"/>
      <c r="D15" s="51"/>
      <c r="E15" s="49"/>
      <c r="F15" s="66" t="s">
        <v>369</v>
      </c>
      <c r="G15" s="243" t="s">
        <v>105</v>
      </c>
      <c r="I15" s="234"/>
      <c r="O15" s="98" t="s">
        <v>387</v>
      </c>
    </row>
    <row r="16" spans="2:9" ht="6" customHeight="1" thickBot="1">
      <c r="B16" s="50"/>
      <c r="C16" s="49"/>
      <c r="D16" s="51"/>
      <c r="E16" s="49"/>
      <c r="F16" s="59"/>
      <c r="G16" s="58"/>
      <c r="I16" s="234"/>
    </row>
    <row r="17" spans="2:9" ht="12.75">
      <c r="B17" s="173" t="s">
        <v>87</v>
      </c>
      <c r="C17" s="174" t="s">
        <v>302</v>
      </c>
      <c r="D17" s="175" t="s">
        <v>303</v>
      </c>
      <c r="E17" s="49"/>
      <c r="F17" s="282" t="s">
        <v>92</v>
      </c>
      <c r="G17" s="283"/>
      <c r="I17" s="234"/>
    </row>
    <row r="18" spans="2:9" ht="13.5" thickBot="1">
      <c r="B18" s="217">
        <f>Calculo!F39</f>
        <v>24.619860703125003</v>
      </c>
      <c r="C18" s="218">
        <f>Calculo!B5</f>
        <v>102.9557811221591</v>
      </c>
      <c r="D18" s="219">
        <f>Calculo!C5</f>
        <v>899.4953097446984</v>
      </c>
      <c r="E18" s="49"/>
      <c r="F18" s="302" t="s">
        <v>143</v>
      </c>
      <c r="G18" s="303"/>
      <c r="I18" s="234"/>
    </row>
    <row r="19" spans="2:9" ht="4.5" customHeight="1" thickBot="1">
      <c r="B19" s="50"/>
      <c r="C19" s="49"/>
      <c r="D19" s="49"/>
      <c r="E19" s="49"/>
      <c r="F19" s="62"/>
      <c r="G19" s="51"/>
      <c r="I19" s="234"/>
    </row>
    <row r="20" spans="2:9" ht="13.5" thickBot="1">
      <c r="B20" s="64" t="s">
        <v>53</v>
      </c>
      <c r="C20" s="246" t="s">
        <v>63</v>
      </c>
      <c r="D20" s="69">
        <f>VLOOKUP(C20,Datos!$A$5:$B$11,2,FALSE)</f>
        <v>3.25</v>
      </c>
      <c r="E20" s="49"/>
      <c r="F20" s="63" t="s">
        <v>59</v>
      </c>
      <c r="G20" s="245" t="s">
        <v>41</v>
      </c>
      <c r="I20" s="236" t="b">
        <f>ISERROR(F21)</f>
        <v>0</v>
      </c>
    </row>
    <row r="21" spans="2:9" ht="12.75" customHeight="1">
      <c r="B21" s="65" t="s">
        <v>47</v>
      </c>
      <c r="C21" s="247" t="s">
        <v>381</v>
      </c>
      <c r="D21" s="70">
        <f>VLOOKUP(C21,Datos!D5:E11,2,FALSE)</f>
        <v>0</v>
      </c>
      <c r="E21" s="49"/>
      <c r="F21" s="293" t="str">
        <f>VLOOKUP(G20,Calculo!A8:G14,7,FALSE)</f>
        <v>UPN 160</v>
      </c>
      <c r="G21" s="294"/>
      <c r="I21" s="237">
        <f>IF(I20=TRUE,"Error de Calculo o","")</f>
      </c>
    </row>
    <row r="22" spans="2:9" ht="12.75" customHeight="1">
      <c r="B22" s="65" t="s">
        <v>44</v>
      </c>
      <c r="C22" s="247" t="s">
        <v>76</v>
      </c>
      <c r="D22" s="70">
        <f>VLOOKUP(C22,Datos!A15:B22,2,FALSE)</f>
        <v>1</v>
      </c>
      <c r="E22" s="49"/>
      <c r="F22" s="295"/>
      <c r="G22" s="296"/>
      <c r="I22" s="237">
        <f>IF(I20=TRUE,"Perfil no Valido","")</f>
      </c>
    </row>
    <row r="23" spans="2:9" ht="13.5" customHeight="1" thickBot="1">
      <c r="B23" s="65" t="s">
        <v>45</v>
      </c>
      <c r="C23" s="247" t="s">
        <v>77</v>
      </c>
      <c r="D23" s="70">
        <f>VLOOKUP(C23,Datos!D15:E21,2,FALSE)</f>
        <v>0.66</v>
      </c>
      <c r="E23" s="49"/>
      <c r="F23" s="297"/>
      <c r="G23" s="298"/>
      <c r="I23" s="233">
        <f>IF(I20=TRUE,"Revisar datos de entrada","")</f>
      </c>
    </row>
    <row r="24" spans="2:9" ht="13.5" thickBot="1">
      <c r="B24" s="65" t="s">
        <v>46</v>
      </c>
      <c r="C24" s="247" t="s">
        <v>80</v>
      </c>
      <c r="D24" s="71">
        <f>VLOOKUP(C24,Datos!G15:H19,2,FALSE)</f>
        <v>0.75</v>
      </c>
      <c r="E24" s="49"/>
      <c r="F24" s="63" t="s">
        <v>400</v>
      </c>
      <c r="G24" s="223">
        <f>H41</f>
        <v>0.8875498372599921</v>
      </c>
      <c r="I24" s="234"/>
    </row>
    <row r="25" spans="2:9" ht="13.5" thickBot="1">
      <c r="B25" s="66" t="s">
        <v>61</v>
      </c>
      <c r="C25" s="224"/>
      <c r="D25" s="72">
        <f>SUM(D20:D24)</f>
        <v>5.66</v>
      </c>
      <c r="E25" s="49"/>
      <c r="F25" s="289" t="str">
        <f>IF(I20=TRUE,"Sin Perfil",IF(C18=0,"Perfil sin carga",IF(Calculo!J9&gt;Calculo!I9,"Perfil por Deformación","Perfil por Resistencia")))</f>
        <v>Perfil por Resistencia</v>
      </c>
      <c r="G25" s="286"/>
      <c r="I25" s="234"/>
    </row>
    <row r="26" spans="2:9" ht="13.5" thickBot="1">
      <c r="B26" s="227" t="s">
        <v>398</v>
      </c>
      <c r="C26" s="248" t="s">
        <v>107</v>
      </c>
      <c r="D26" s="249">
        <v>0.57</v>
      </c>
      <c r="E26" s="52"/>
      <c r="F26" s="220" t="s">
        <v>391</v>
      </c>
      <c r="G26" s="222">
        <f>IF(I20=TRUE,"Sin Perfil",Calculo!E26)</f>
        <v>0</v>
      </c>
      <c r="H26" s="49"/>
      <c r="I26" s="234"/>
    </row>
    <row r="27" spans="2:9" ht="5.25" customHeight="1" thickBot="1">
      <c r="B27" s="50"/>
      <c r="C27" s="49"/>
      <c r="D27" s="49"/>
      <c r="E27" s="49"/>
      <c r="F27" s="49"/>
      <c r="G27" s="51"/>
      <c r="I27" s="234"/>
    </row>
    <row r="28" spans="2:9" ht="13.5" thickBot="1">
      <c r="B28" s="284" t="s">
        <v>297</v>
      </c>
      <c r="C28" s="285"/>
      <c r="D28" s="285"/>
      <c r="E28" s="285"/>
      <c r="F28" s="285"/>
      <c r="G28" s="286"/>
      <c r="I28" s="234"/>
    </row>
    <row r="29" spans="2:15" ht="12.75">
      <c r="B29" s="300" t="s">
        <v>298</v>
      </c>
      <c r="C29" s="301"/>
      <c r="D29" s="102" t="s">
        <v>299</v>
      </c>
      <c r="E29" s="104"/>
      <c r="F29" s="102" t="s">
        <v>300</v>
      </c>
      <c r="G29" s="103" t="s">
        <v>301</v>
      </c>
      <c r="I29" s="234"/>
      <c r="O29" s="98" t="s">
        <v>388</v>
      </c>
    </row>
    <row r="30" spans="2:9" ht="13.5" thickBot="1">
      <c r="B30" s="251" t="s">
        <v>41</v>
      </c>
      <c r="C30" s="250">
        <v>220</v>
      </c>
      <c r="D30" s="105">
        <f>IF($B$30="IPE",VLOOKUP($C$30,Prontuario!$A$4:$K$29,8,FALSE),IF($B$30="IPN",VLOOKUP($C$30,Prontuario!$A$35:$K$55,8,FALSE),IF($B$30="HEB",VLOOKUP($C$30,Prontuario!$A$61:$K$87,8,FALSE),IF($B$30="HEA",VLOOKUP($C$30,Prontuario!$A$93:$K$119,8,FALSE),IF($B$30="UPN",VLOOKUP($C$30,Prontuario!$A$125:$K$136,8,FALSE),IF($B$30="2UPN",VLOOKUP($C$30,Prontuario!$A$142:$K$153,8,FALSE),VLOOKUP($C$30,Prontuario!$A$159:$K$164,8,FALSE)))))))</f>
        <v>37.4</v>
      </c>
      <c r="E30" s="52"/>
      <c r="F30" s="105">
        <f>IF($B$30="IPE",VLOOKUP($C$30,Prontuario!$A$4:$K$29,11,FALSE),IF($B$30="IPN",VLOOKUP($C$30,Prontuario!$A$35:$K$55,11,FALSE),IF($B$30="HEB",VLOOKUP($C$30,Prontuario!$A$61:$K$87,11,FALSE),IF($B$30="HEA",VLOOKUP($C$30,Prontuario!$A$93:$K$119,11,FALSE),IF($B$30="UPN",VLOOKUP($C$30,Prontuario!$A$125:$K$136,11,FALSE),IF($B$30="2UPN",VLOOKUP($C$30,Prontuario!$A$142:$K$153,11,FALSE),VLOOKUP($C$30,Prontuario!$A$159:$K$164,11,FALSE)))))))</f>
        <v>245</v>
      </c>
      <c r="G30" s="161">
        <f>IF($B$30="IPE",VLOOKUP($C$30,Prontuario!$A$4:$K$29,10,FALSE),IF($B$30="IPN",VLOOKUP($C$30,Prontuario!$A$35:$K$55,10,FALSE),IF($B$30="HEB",VLOOKUP($C$30,Prontuario!$A$61:$K$87,10,FALSE),IF($B$30="HEA",VLOOKUP($C$30,Prontuario!$A$93:$K$119,10,FALSE),IF($B$30="UPN",VLOOKUP($C$30,Prontuario!$A$125:$K$136,10,FALSE),IF($B$30="2UPN",VLOOKUP($C$30,Prontuario!$A$142:$K$153,10,FALSE),VLOOKUP($C$30,Prontuario!$A$159:$K$164,10,FALSE)))))))</f>
        <v>2690</v>
      </c>
      <c r="I30" s="234"/>
    </row>
    <row r="31" spans="2:9" ht="5.25" customHeight="1" thickBot="1">
      <c r="B31" s="50"/>
      <c r="C31" s="49"/>
      <c r="D31" s="49"/>
      <c r="E31" s="49"/>
      <c r="F31" s="49"/>
      <c r="G31" s="51"/>
      <c r="I31" s="234"/>
    </row>
    <row r="32" spans="2:9" ht="13.5" thickBot="1">
      <c r="B32" s="304" t="s">
        <v>332</v>
      </c>
      <c r="C32" s="305"/>
      <c r="D32" s="305"/>
      <c r="E32" s="285"/>
      <c r="F32" s="305"/>
      <c r="G32" s="306"/>
      <c r="I32" s="234"/>
    </row>
    <row r="33" spans="2:9" ht="12.75">
      <c r="B33" s="287" t="s">
        <v>333</v>
      </c>
      <c r="C33" s="299"/>
      <c r="D33" s="288"/>
      <c r="E33" s="207"/>
      <c r="F33" s="287" t="s">
        <v>334</v>
      </c>
      <c r="G33" s="288"/>
      <c r="I33" s="234"/>
    </row>
    <row r="34" spans="2:9" ht="12.75">
      <c r="B34" s="205"/>
      <c r="C34" s="203" t="s">
        <v>337</v>
      </c>
      <c r="D34" s="204" t="s">
        <v>380</v>
      </c>
      <c r="E34" s="162"/>
      <c r="F34" s="163" t="s">
        <v>337</v>
      </c>
      <c r="G34" s="239">
        <v>2.5</v>
      </c>
      <c r="I34" s="234"/>
    </row>
    <row r="35" spans="2:9" ht="12.75">
      <c r="B35" s="201" t="s">
        <v>365</v>
      </c>
      <c r="C35" s="210">
        <f>INDEX(Coordenadas!16:16,1,MATCH(D35,IF($F$18="Apoyado-Apoyado",Coordenadas!22:22,IF(Programa!$F$18="Empotrado-Empotrado",Coordenadas!40:40,IF(Programa!$F$18="Apoyado-Empotrado",Coordenadas!58:58,Coordenadas!76:76))),0))</f>
        <v>2.800000000000001</v>
      </c>
      <c r="D35" s="176">
        <f>Calculo!F43</f>
        <v>12.306933046875004</v>
      </c>
      <c r="E35" s="162"/>
      <c r="F35" s="164" t="s">
        <v>87</v>
      </c>
      <c r="G35" s="176">
        <f>INDEX(Coordenadas!CY:CY,MATCH(F18,Coordenadas!A:A,0)+4,1)</f>
        <v>11.947256484375002</v>
      </c>
      <c r="I35" s="234"/>
    </row>
    <row r="36" spans="2:9" ht="12.75">
      <c r="B36" s="201" t="s">
        <v>366</v>
      </c>
      <c r="C36" s="210">
        <f>INDEX(Coordenadas!16:16,1,MATCH(D36,IF($F$18="Apoyado-Apoyado",Coordenadas!22:22,IF(Programa!$F$18="Empotrado-Empotrado",Coordenadas!40:40,IF(Programa!$F$18="Apoyado-Empotrado",Coordenadas!58:58,Coordenadas!76:76))),0))</f>
        <v>0</v>
      </c>
      <c r="D36" s="176">
        <f>Calculo!F44</f>
        <v>24.619860703125</v>
      </c>
      <c r="E36" s="162"/>
      <c r="F36" s="164" t="s">
        <v>335</v>
      </c>
      <c r="G36" s="177">
        <f>INDEX(Coordenadas!CY:CY,MATCH(F18,Coordenadas!A:A,0)+8,1)</f>
        <v>2.637628124999999</v>
      </c>
      <c r="I36" s="234"/>
    </row>
    <row r="37" spans="2:9" ht="12.75">
      <c r="B37" s="201" t="s">
        <v>335</v>
      </c>
      <c r="C37" s="210">
        <f>INDEX(Coordenadas!16:16,1,MATCH(D37,IF($F$18="Apoyado-Apoyado",Coordenadas!26:26,IF(Programa!$F$18="Empotrado-Empotrado",Coordenadas!44:44,IF(Programa!$F$18="Apoyado-Empotrado",Coordenadas!62:62,Coordenadas!80:80))),0))</f>
        <v>0</v>
      </c>
      <c r="D37" s="177">
        <f>Calculo!F41</f>
        <v>26.616065625</v>
      </c>
      <c r="E37" s="162"/>
      <c r="F37" s="164" t="s">
        <v>336</v>
      </c>
      <c r="G37" s="206">
        <f>IF(I20=TRUE,"Sin Perfil     ",INDEX(Coordenadas!CY:CY,MATCH(F18,Coordenadas!A:A,0)+16,1))</f>
        <v>0.9534214459995705</v>
      </c>
      <c r="I37" s="234"/>
    </row>
    <row r="38" spans="2:9" ht="13.5" thickBot="1">
      <c r="B38" s="202" t="s">
        <v>336</v>
      </c>
      <c r="C38" s="211">
        <f>IF(I20=TRUE,"Sin Perfil",INDEX(Coordenadas!16:16,1,MATCH(D38,IF($F$18="Apoyado-Apoyado",Coordenadas!34:34,IF(Programa!$F$18="Empotrado-Empotrado",Coordenadas!52:52,IF(Programa!$F$18="Apoyado-Empotrado",Coordenadas!70:70,Coordenadas!88:88))),0)))</f>
        <v>2.800000000000001</v>
      </c>
      <c r="D38" s="200">
        <f>IF(I20=TRUE,"Sin Perfil     ",Calculo!F42)</f>
        <v>0.9722695195195192</v>
      </c>
      <c r="E38" s="52"/>
      <c r="F38" s="208"/>
      <c r="G38" s="209"/>
      <c r="I38" s="235"/>
    </row>
    <row r="39" ht="13.5" thickBot="1"/>
    <row r="40" spans="2:17" s="221" customFormat="1" ht="12.75">
      <c r="B40" s="265" t="s">
        <v>402</v>
      </c>
      <c r="C40" s="266">
        <f>Calculo!O54</f>
        <v>899.4953097446984</v>
      </c>
      <c r="D40" s="267" t="s">
        <v>403</v>
      </c>
      <c r="E40" s="268"/>
      <c r="F40" s="269" t="s">
        <v>404</v>
      </c>
      <c r="G40" s="270">
        <f>VLOOKUP(G20,Calculo!A8:G14,3,FALSE)</f>
        <v>925</v>
      </c>
      <c r="H40" s="264">
        <f>C40/G40</f>
        <v>0.9724273618861604</v>
      </c>
      <c r="J40" s="356" t="s">
        <v>406</v>
      </c>
      <c r="K40" s="357"/>
      <c r="L40" s="357"/>
      <c r="M40" s="357"/>
      <c r="N40" s="357"/>
      <c r="O40" s="357"/>
      <c r="P40" s="357"/>
      <c r="Q40" s="358"/>
    </row>
    <row r="41" spans="2:17" ht="13.5" thickBot="1">
      <c r="B41" s="202" t="s">
        <v>169</v>
      </c>
      <c r="C41" s="278">
        <f>Calculo!F40</f>
        <v>102.9557811221591</v>
      </c>
      <c r="D41" s="279" t="s">
        <v>28</v>
      </c>
      <c r="E41" s="52"/>
      <c r="F41" s="276" t="s">
        <v>399</v>
      </c>
      <c r="G41" s="277">
        <f>VLOOKUP(G20,Calculo!A8:G14,2,FALSE)</f>
        <v>116</v>
      </c>
      <c r="H41" s="264">
        <f>C41/G41</f>
        <v>0.8875498372599921</v>
      </c>
      <c r="J41" s="359"/>
      <c r="K41" s="360"/>
      <c r="L41" s="360"/>
      <c r="M41" s="360"/>
      <c r="N41" s="360"/>
      <c r="O41" s="360"/>
      <c r="P41" s="360"/>
      <c r="Q41" s="361"/>
    </row>
    <row r="42" spans="2:17" ht="13.5" thickBot="1">
      <c r="B42" s="49"/>
      <c r="C42" s="49"/>
      <c r="D42" s="49"/>
      <c r="E42" s="49"/>
      <c r="F42" s="49"/>
      <c r="G42" s="49"/>
      <c r="J42" s="362" t="s">
        <v>407</v>
      </c>
      <c r="K42" s="363"/>
      <c r="L42" s="363"/>
      <c r="M42" s="363"/>
      <c r="N42" s="363"/>
      <c r="O42" s="363"/>
      <c r="P42" s="363"/>
      <c r="Q42" s="364"/>
    </row>
    <row r="43" spans="2:7" ht="13.5" thickBot="1">
      <c r="B43" s="282" t="s">
        <v>405</v>
      </c>
      <c r="C43" s="283"/>
      <c r="D43" s="5"/>
      <c r="E43" s="5"/>
      <c r="F43" s="280" t="str">
        <f>B30</f>
        <v>UPN</v>
      </c>
      <c r="G43" s="281">
        <f>C30</f>
        <v>220</v>
      </c>
    </row>
    <row r="44" spans="2:15" s="225" customFormat="1" ht="15">
      <c r="B44" s="272"/>
      <c r="C44" s="273"/>
      <c r="D44" s="273"/>
      <c r="E44" s="273"/>
      <c r="F44" s="263" t="s">
        <v>404</v>
      </c>
      <c r="G44" s="271">
        <f>G30</f>
        <v>2690</v>
      </c>
      <c r="H44" s="264">
        <f>C40/G44</f>
        <v>0.3343848735110403</v>
      </c>
      <c r="J44" s="365" t="s">
        <v>408</v>
      </c>
      <c r="K44" s="366"/>
      <c r="L44" s="366"/>
      <c r="M44" s="367"/>
      <c r="O44" s="226"/>
    </row>
    <row r="45" spans="2:15" s="225" customFormat="1" ht="13.5" thickBot="1">
      <c r="B45" s="274"/>
      <c r="C45" s="275"/>
      <c r="D45" s="275"/>
      <c r="E45" s="275"/>
      <c r="F45" s="276" t="s">
        <v>399</v>
      </c>
      <c r="G45" s="277">
        <f>F30</f>
        <v>245</v>
      </c>
      <c r="H45" s="264">
        <f>C41/G45</f>
        <v>0.42022767804962896</v>
      </c>
      <c r="J45" s="368"/>
      <c r="K45" s="369"/>
      <c r="L45" s="369"/>
      <c r="M45" s="370"/>
      <c r="O45" s="226"/>
    </row>
    <row r="46" spans="10:15" s="225" customFormat="1" ht="13.5" thickBot="1">
      <c r="J46" s="371"/>
      <c r="K46" s="372"/>
      <c r="L46" s="372"/>
      <c r="M46" s="373"/>
      <c r="O46" s="226"/>
    </row>
    <row r="47" s="225" customFormat="1" ht="12.75">
      <c r="O47" s="226"/>
    </row>
    <row r="48" s="225" customFormat="1" ht="12.75">
      <c r="O48" s="226"/>
    </row>
    <row r="49" spans="2:102" s="212" customFormat="1" ht="12.75">
      <c r="B49" s="228">
        <v>0</v>
      </c>
      <c r="C49" s="228">
        <f>B49+0.1</f>
        <v>0.1</v>
      </c>
      <c r="D49" s="228">
        <f aca="true" t="shared" si="0" ref="D49:BO49">C49+0.1</f>
        <v>0.2</v>
      </c>
      <c r="E49" s="228">
        <f t="shared" si="0"/>
        <v>0.30000000000000004</v>
      </c>
      <c r="F49" s="228">
        <f t="shared" si="0"/>
        <v>0.4</v>
      </c>
      <c r="G49" s="228">
        <f t="shared" si="0"/>
        <v>0.5</v>
      </c>
      <c r="H49" s="228">
        <f t="shared" si="0"/>
        <v>0.6</v>
      </c>
      <c r="I49" s="228">
        <f t="shared" si="0"/>
        <v>0.7</v>
      </c>
      <c r="J49" s="228">
        <f t="shared" si="0"/>
        <v>0.7999999999999999</v>
      </c>
      <c r="K49" s="228">
        <f t="shared" si="0"/>
        <v>0.8999999999999999</v>
      </c>
      <c r="L49" s="228">
        <f t="shared" si="0"/>
        <v>0.9999999999999999</v>
      </c>
      <c r="M49" s="228">
        <f t="shared" si="0"/>
        <v>1.0999999999999999</v>
      </c>
      <c r="N49" s="228">
        <f t="shared" si="0"/>
        <v>1.2</v>
      </c>
      <c r="O49" s="228">
        <f t="shared" si="0"/>
        <v>1.3</v>
      </c>
      <c r="P49" s="228">
        <f t="shared" si="0"/>
        <v>1.4000000000000001</v>
      </c>
      <c r="Q49" s="228">
        <f t="shared" si="0"/>
        <v>1.5000000000000002</v>
      </c>
      <c r="R49" s="228">
        <f t="shared" si="0"/>
        <v>1.6000000000000003</v>
      </c>
      <c r="S49" s="228">
        <f t="shared" si="0"/>
        <v>1.7000000000000004</v>
      </c>
      <c r="T49" s="228">
        <f t="shared" si="0"/>
        <v>1.8000000000000005</v>
      </c>
      <c r="U49" s="228">
        <f t="shared" si="0"/>
        <v>1.9000000000000006</v>
      </c>
      <c r="V49" s="228">
        <f t="shared" si="0"/>
        <v>2.0000000000000004</v>
      </c>
      <c r="W49" s="228">
        <f t="shared" si="0"/>
        <v>2.1000000000000005</v>
      </c>
      <c r="X49" s="228">
        <f t="shared" si="0"/>
        <v>2.2000000000000006</v>
      </c>
      <c r="Y49" s="228">
        <f t="shared" si="0"/>
        <v>2.3000000000000007</v>
      </c>
      <c r="Z49" s="228">
        <f t="shared" si="0"/>
        <v>2.400000000000001</v>
      </c>
      <c r="AA49" s="228">
        <f t="shared" si="0"/>
        <v>2.500000000000001</v>
      </c>
      <c r="AB49" s="228">
        <f t="shared" si="0"/>
        <v>2.600000000000001</v>
      </c>
      <c r="AC49" s="228">
        <f t="shared" si="0"/>
        <v>2.700000000000001</v>
      </c>
      <c r="AD49" s="228">
        <f t="shared" si="0"/>
        <v>2.800000000000001</v>
      </c>
      <c r="AE49" s="228">
        <f t="shared" si="0"/>
        <v>2.9000000000000012</v>
      </c>
      <c r="AF49" s="228">
        <f t="shared" si="0"/>
        <v>3.0000000000000013</v>
      </c>
      <c r="AG49" s="228">
        <f t="shared" si="0"/>
        <v>3.1000000000000014</v>
      </c>
      <c r="AH49" s="228">
        <f t="shared" si="0"/>
        <v>3.2000000000000015</v>
      </c>
      <c r="AI49" s="228">
        <f t="shared" si="0"/>
        <v>3.3000000000000016</v>
      </c>
      <c r="AJ49" s="228">
        <f t="shared" si="0"/>
        <v>3.4000000000000017</v>
      </c>
      <c r="AK49" s="228">
        <f t="shared" si="0"/>
        <v>3.5000000000000018</v>
      </c>
      <c r="AL49" s="228">
        <f t="shared" si="0"/>
        <v>3.600000000000002</v>
      </c>
      <c r="AM49" s="228">
        <f t="shared" si="0"/>
        <v>3.700000000000002</v>
      </c>
      <c r="AN49" s="228">
        <f t="shared" si="0"/>
        <v>3.800000000000002</v>
      </c>
      <c r="AO49" s="228">
        <f t="shared" si="0"/>
        <v>3.900000000000002</v>
      </c>
      <c r="AP49" s="228">
        <f t="shared" si="0"/>
        <v>4.000000000000002</v>
      </c>
      <c r="AQ49" s="228">
        <f t="shared" si="0"/>
        <v>4.100000000000001</v>
      </c>
      <c r="AR49" s="228">
        <f t="shared" si="0"/>
        <v>4.200000000000001</v>
      </c>
      <c r="AS49" s="228">
        <f t="shared" si="0"/>
        <v>4.300000000000001</v>
      </c>
      <c r="AT49" s="228">
        <f t="shared" si="0"/>
        <v>4.4</v>
      </c>
      <c r="AU49" s="228">
        <f t="shared" si="0"/>
        <v>4.5</v>
      </c>
      <c r="AV49" s="228">
        <f t="shared" si="0"/>
        <v>4.6</v>
      </c>
      <c r="AW49" s="228">
        <f t="shared" si="0"/>
        <v>4.699999999999999</v>
      </c>
      <c r="AX49" s="228">
        <f t="shared" si="0"/>
        <v>4.799999999999999</v>
      </c>
      <c r="AY49" s="228">
        <f t="shared" si="0"/>
        <v>4.899999999999999</v>
      </c>
      <c r="AZ49" s="228">
        <f t="shared" si="0"/>
        <v>4.999999999999998</v>
      </c>
      <c r="BA49" s="228">
        <f t="shared" si="0"/>
        <v>5.099999999999998</v>
      </c>
      <c r="BB49" s="228">
        <f t="shared" si="0"/>
        <v>5.1999999999999975</v>
      </c>
      <c r="BC49" s="228">
        <f t="shared" si="0"/>
        <v>5.299999999999997</v>
      </c>
      <c r="BD49" s="228">
        <f t="shared" si="0"/>
        <v>5.399999999999997</v>
      </c>
      <c r="BE49" s="228">
        <f t="shared" si="0"/>
        <v>5.4999999999999964</v>
      </c>
      <c r="BF49" s="228">
        <f t="shared" si="0"/>
        <v>5.599999999999996</v>
      </c>
      <c r="BG49" s="228">
        <f t="shared" si="0"/>
        <v>5.699999999999996</v>
      </c>
      <c r="BH49" s="228">
        <f t="shared" si="0"/>
        <v>5.799999999999995</v>
      </c>
      <c r="BI49" s="228">
        <f t="shared" si="0"/>
        <v>5.899999999999995</v>
      </c>
      <c r="BJ49" s="228">
        <f t="shared" si="0"/>
        <v>5.999999999999995</v>
      </c>
      <c r="BK49" s="228">
        <f t="shared" si="0"/>
        <v>6.099999999999994</v>
      </c>
      <c r="BL49" s="228">
        <f t="shared" si="0"/>
        <v>6.199999999999994</v>
      </c>
      <c r="BM49" s="228">
        <f t="shared" si="0"/>
        <v>6.299999999999994</v>
      </c>
      <c r="BN49" s="228">
        <f t="shared" si="0"/>
        <v>6.399999999999993</v>
      </c>
      <c r="BO49" s="228">
        <f t="shared" si="0"/>
        <v>6.499999999999993</v>
      </c>
      <c r="BP49" s="228">
        <f aca="true" t="shared" si="1" ref="BP49:CX49">BO49+0.1</f>
        <v>6.5999999999999925</v>
      </c>
      <c r="BQ49" s="228">
        <f t="shared" si="1"/>
        <v>6.699999999999992</v>
      </c>
      <c r="BR49" s="228">
        <f t="shared" si="1"/>
        <v>6.799999999999992</v>
      </c>
      <c r="BS49" s="228">
        <f t="shared" si="1"/>
        <v>6.8999999999999915</v>
      </c>
      <c r="BT49" s="228">
        <f t="shared" si="1"/>
        <v>6.999999999999991</v>
      </c>
      <c r="BU49" s="228">
        <f t="shared" si="1"/>
        <v>7.099999999999991</v>
      </c>
      <c r="BV49" s="228">
        <f t="shared" si="1"/>
        <v>7.19999999999999</v>
      </c>
      <c r="BW49" s="228">
        <f t="shared" si="1"/>
        <v>7.29999999999999</v>
      </c>
      <c r="BX49" s="228">
        <f t="shared" si="1"/>
        <v>7.39999999999999</v>
      </c>
      <c r="BY49" s="228">
        <f t="shared" si="1"/>
        <v>7.499999999999989</v>
      </c>
      <c r="BZ49" s="228">
        <f t="shared" si="1"/>
        <v>7.599999999999989</v>
      </c>
      <c r="CA49" s="228">
        <f t="shared" si="1"/>
        <v>7.699999999999989</v>
      </c>
      <c r="CB49" s="228">
        <f t="shared" si="1"/>
        <v>7.799999999999988</v>
      </c>
      <c r="CC49" s="228">
        <f t="shared" si="1"/>
        <v>7.899999999999988</v>
      </c>
      <c r="CD49" s="228">
        <f t="shared" si="1"/>
        <v>7.999999999999988</v>
      </c>
      <c r="CE49" s="228">
        <f t="shared" si="1"/>
        <v>8.099999999999987</v>
      </c>
      <c r="CF49" s="228">
        <f t="shared" si="1"/>
        <v>8.199999999999987</v>
      </c>
      <c r="CG49" s="228">
        <f t="shared" si="1"/>
        <v>8.299999999999986</v>
      </c>
      <c r="CH49" s="228">
        <f t="shared" si="1"/>
        <v>8.399999999999986</v>
      </c>
      <c r="CI49" s="228">
        <f t="shared" si="1"/>
        <v>8.499999999999986</v>
      </c>
      <c r="CJ49" s="228">
        <f t="shared" si="1"/>
        <v>8.599999999999985</v>
      </c>
      <c r="CK49" s="228">
        <f t="shared" si="1"/>
        <v>8.699999999999985</v>
      </c>
      <c r="CL49" s="228">
        <f t="shared" si="1"/>
        <v>8.799999999999985</v>
      </c>
      <c r="CM49" s="228">
        <f t="shared" si="1"/>
        <v>8.899999999999984</v>
      </c>
      <c r="CN49" s="228">
        <f t="shared" si="1"/>
        <v>8.999999999999984</v>
      </c>
      <c r="CO49" s="228">
        <f t="shared" si="1"/>
        <v>9.099999999999984</v>
      </c>
      <c r="CP49" s="228">
        <f t="shared" si="1"/>
        <v>9.199999999999983</v>
      </c>
      <c r="CQ49" s="228">
        <f t="shared" si="1"/>
        <v>9.299999999999983</v>
      </c>
      <c r="CR49" s="228">
        <f t="shared" si="1"/>
        <v>9.399999999999983</v>
      </c>
      <c r="CS49" s="228">
        <f t="shared" si="1"/>
        <v>9.499999999999982</v>
      </c>
      <c r="CT49" s="228">
        <f t="shared" si="1"/>
        <v>9.599999999999982</v>
      </c>
      <c r="CU49" s="228">
        <f t="shared" si="1"/>
        <v>9.699999999999982</v>
      </c>
      <c r="CV49" s="228">
        <f t="shared" si="1"/>
        <v>9.799999999999981</v>
      </c>
      <c r="CW49" s="228">
        <f t="shared" si="1"/>
        <v>9.89999999999998</v>
      </c>
      <c r="CX49" s="228">
        <f t="shared" si="1"/>
        <v>9.99999999999998</v>
      </c>
    </row>
    <row r="50" spans="2:101" s="229" customFormat="1" ht="12.75">
      <c r="B50" s="229">
        <f>-1*INDEX(Coordenadas!$A$18:$CX$88,MATCH($F$18,Coordenadas!$A$18:$A$88,0)+4,B49*10+2)</f>
        <v>24.619860703125</v>
      </c>
      <c r="C50" s="229">
        <f>-1*INDEX(Coordenadas!$A$18:$CX$88,MATCH($F$18,Coordenadas!$A$18:$A$88,0)+4,C49*10+2)</f>
        <v>22.006211015625002</v>
      </c>
      <c r="D50" s="229">
        <f>-1*INDEX(Coordenadas!$A$18:$CX$88,MATCH($F$18,Coordenadas!$A$18:$A$88,0)+4,D49*10+2)</f>
        <v>19.488475078125003</v>
      </c>
      <c r="E50" s="229">
        <f>-1*INDEX(Coordenadas!$A$18:$CX$88,MATCH($F$18,Coordenadas!$A$18:$A$88,0)+4,E49*10+2)</f>
        <v>17.066652890625</v>
      </c>
      <c r="F50" s="229">
        <f>-1*INDEX(Coordenadas!$A$18:$CX$88,MATCH($F$18,Coordenadas!$A$18:$A$88,0)+4,F49*10+2)</f>
        <v>14.740744453125</v>
      </c>
      <c r="G50" s="229">
        <f>-1*INDEX(Coordenadas!$A$18:$CX$88,MATCH($F$18,Coordenadas!$A$18:$A$88,0)+4,G49*10+2)</f>
        <v>12.510749765625</v>
      </c>
      <c r="H50" s="229">
        <f>-1*INDEX(Coordenadas!$A$18:$CX$88,MATCH($F$18,Coordenadas!$A$18:$A$88,0)+4,H49*10+2)</f>
        <v>10.376668828125002</v>
      </c>
      <c r="I50" s="229">
        <f>-1*INDEX(Coordenadas!$A$18:$CX$88,MATCH($F$18,Coordenadas!$A$18:$A$88,0)+4,I49*10+2)</f>
        <v>8.338501640625001</v>
      </c>
      <c r="J50" s="229">
        <f>-1*INDEX(Coordenadas!$A$18:$CX$88,MATCH($F$18,Coordenadas!$A$18:$A$88,0)+4,J49*10+2)</f>
        <v>6.396248203125001</v>
      </c>
      <c r="K50" s="229">
        <f>-1*INDEX(Coordenadas!$A$18:$CX$88,MATCH($F$18,Coordenadas!$A$18:$A$88,0)+4,K49*10+2)</f>
        <v>4.5499085156250025</v>
      </c>
      <c r="L50" s="229">
        <f>-1*INDEX(Coordenadas!$A$18:$CX$88,MATCH($F$18,Coordenadas!$A$18:$A$88,0)+4,L49*10+2)</f>
        <v>2.799482578125007</v>
      </c>
      <c r="M50" s="229">
        <f>-1*INDEX(Coordenadas!$A$18:$CX$88,MATCH($F$18,Coordenadas!$A$18:$A$88,0)+4,M49*10+2)</f>
        <v>1.1449703906250008</v>
      </c>
      <c r="N50" s="229">
        <f>-1*INDEX(Coordenadas!$A$18:$CX$88,MATCH($F$18,Coordenadas!$A$18:$A$88,0)+4,N49*10+2)</f>
        <v>-0.4136280468749958</v>
      </c>
      <c r="O50" s="229">
        <f>-1*INDEX(Coordenadas!$A$18:$CX$88,MATCH($F$18,Coordenadas!$A$18:$A$88,0)+4,O49*10+2)</f>
        <v>-1.8763127343750003</v>
      </c>
      <c r="P50" s="229">
        <f>-1*INDEX(Coordenadas!$A$18:$CX$88,MATCH($F$18,Coordenadas!$A$18:$A$88,0)+4,P49*10+2)</f>
        <v>-3.243083671875001</v>
      </c>
      <c r="Q50" s="229">
        <f>-1*INDEX(Coordenadas!$A$18:$CX$88,MATCH($F$18,Coordenadas!$A$18:$A$88,0)+4,Q49*10+2)</f>
        <v>-4.513940859374999</v>
      </c>
      <c r="R50" s="229">
        <f>-1*INDEX(Coordenadas!$A$18:$CX$88,MATCH($F$18,Coordenadas!$A$18:$A$88,0)+4,R49*10+2)</f>
        <v>-5.688884296875003</v>
      </c>
      <c r="S50" s="229">
        <f>-1*INDEX(Coordenadas!$A$18:$CX$88,MATCH($F$18,Coordenadas!$A$18:$A$88,0)+4,S49*10+2)</f>
        <v>-6.7679139843749985</v>
      </c>
      <c r="T50" s="229">
        <f>-1*INDEX(Coordenadas!$A$18:$CX$88,MATCH($F$18,Coordenadas!$A$18:$A$88,0)+4,T49*10+2)</f>
        <v>-7.751029921875002</v>
      </c>
      <c r="U50" s="229">
        <f>-1*INDEX(Coordenadas!$A$18:$CX$88,MATCH($F$18,Coordenadas!$A$18:$A$88,0)+4,U49*10+2)</f>
        <v>-8.638232109375007</v>
      </c>
      <c r="V50" s="229">
        <f>-1*INDEX(Coordenadas!$A$18:$CX$88,MATCH($F$18,Coordenadas!$A$18:$A$88,0)+4,V49*10+2)</f>
        <v>-9.429520546874997</v>
      </c>
      <c r="W50" s="229">
        <f>-1*INDEX(Coordenadas!$A$18:$CX$88,MATCH($F$18,Coordenadas!$A$18:$A$88,0)+4,W49*10+2)</f>
        <v>-10.124895234375002</v>
      </c>
      <c r="X50" s="229">
        <f>-1*INDEX(Coordenadas!$A$18:$CX$88,MATCH($F$18,Coordenadas!$A$18:$A$88,0)+4,X49*10+2)</f>
        <v>-10.724356171875007</v>
      </c>
      <c r="Y50" s="229">
        <f>-1*INDEX(Coordenadas!$A$18:$CX$88,MATCH($F$18,Coordenadas!$A$18:$A$88,0)+4,Y49*10+2)</f>
        <v>-11.227903359374997</v>
      </c>
      <c r="Z50" s="229">
        <f>-1*INDEX(Coordenadas!$A$18:$CX$88,MATCH($F$18,Coordenadas!$A$18:$A$88,0)+4,Z49*10+2)</f>
        <v>-11.635536796874996</v>
      </c>
      <c r="AA50" s="229">
        <f>-1*INDEX(Coordenadas!$A$18:$CX$88,MATCH($F$18,Coordenadas!$A$18:$A$88,0)+4,AA49*10+2)</f>
        <v>-11.947256484375002</v>
      </c>
      <c r="AB50" s="229">
        <f>-1*INDEX(Coordenadas!$A$18:$CX$88,MATCH($F$18,Coordenadas!$A$18:$A$88,0)+4,AB49*10+2)</f>
        <v>-12.163062421874999</v>
      </c>
      <c r="AC50" s="229">
        <f>-1*INDEX(Coordenadas!$A$18:$CX$88,MATCH($F$18,Coordenadas!$A$18:$A$88,0)+4,AC49*10+2)</f>
        <v>-12.282954609374999</v>
      </c>
      <c r="AD50" s="229">
        <f>-1*INDEX(Coordenadas!$A$18:$CX$88,MATCH($F$18,Coordenadas!$A$18:$A$88,0)+4,AD49*10+2)</f>
        <v>-12.306933046875004</v>
      </c>
      <c r="AE50" s="229">
        <f>-1*INDEX(Coordenadas!$A$18:$CX$88,MATCH($F$18,Coordenadas!$A$18:$A$88,0)+4,AE49*10+2)</f>
        <v>-12.234997734374996</v>
      </c>
      <c r="AF50" s="229">
        <f>-1*INDEX(Coordenadas!$A$18:$CX$88,MATCH($F$18,Coordenadas!$A$18:$A$88,0)+4,AF49*10+2)</f>
        <v>-12.067148671874996</v>
      </c>
      <c r="AG50" s="229">
        <f>-1*INDEX(Coordenadas!$A$18:$CX$88,MATCH($F$18,Coordenadas!$A$18:$A$88,0)+4,AG49*10+2)</f>
        <v>-11.803385859374986</v>
      </c>
      <c r="AH50" s="229">
        <f>-1*INDEX(Coordenadas!$A$18:$CX$88,MATCH($F$18,Coordenadas!$A$18:$A$88,0)+4,AH49*10+2)</f>
        <v>-11.443709296874994</v>
      </c>
      <c r="AI50" s="229">
        <f>-1*INDEX(Coordenadas!$A$18:$CX$88,MATCH($F$18,Coordenadas!$A$18:$A$88,0)+4,AI49*10+2)</f>
        <v>-10.988118984374989</v>
      </c>
      <c r="AJ50" s="229">
        <f>-1*INDEX(Coordenadas!$A$18:$CX$88,MATCH($F$18,Coordenadas!$A$18:$A$88,0)+4,AJ49*10+2)</f>
        <v>-10.436614921874979</v>
      </c>
      <c r="AK50" s="229">
        <f>-1*INDEX(Coordenadas!$A$18:$CX$88,MATCH($F$18,Coordenadas!$A$18:$A$88,0)+4,AK49*10+2)</f>
        <v>-9.789197109374989</v>
      </c>
      <c r="AL50" s="229">
        <f>-1*INDEX(Coordenadas!$A$18:$CX$88,MATCH($F$18,Coordenadas!$A$18:$A$88,0)+4,AL49*10+2)</f>
        <v>-9.045865546874984</v>
      </c>
      <c r="AM50" s="229">
        <f>-1*INDEX(Coordenadas!$A$18:$CX$88,MATCH($F$18,Coordenadas!$A$18:$A$88,0)+4,AM49*10+2)</f>
        <v>-8.206620234374974</v>
      </c>
      <c r="AN50" s="229">
        <f>-1*INDEX(Coordenadas!$A$18:$CX$88,MATCH($F$18,Coordenadas!$A$18:$A$88,0)+4,AN49*10+2)</f>
        <v>-7.271461171874972</v>
      </c>
      <c r="AO50" s="229">
        <f>-1*INDEX(Coordenadas!$A$18:$CX$88,MATCH($F$18,Coordenadas!$A$18:$A$88,0)+4,AO49*10+2)</f>
        <v>-6.240388359374967</v>
      </c>
      <c r="AP50" s="229">
        <f>-1*INDEX(Coordenadas!$A$18:$CX$88,MATCH($F$18,Coordenadas!$A$18:$A$88,0)+4,AP49*10+2)</f>
        <v>-5.11340179687497</v>
      </c>
      <c r="AQ50" s="229">
        <f>-1*INDEX(Coordenadas!$A$18:$CX$88,MATCH($F$18,Coordenadas!$A$18:$A$88,0)+4,AQ49*10+2)</f>
        <v>-3.890501484374969</v>
      </c>
      <c r="AR50" s="229">
        <f>-1*INDEX(Coordenadas!$A$18:$CX$88,MATCH($F$18,Coordenadas!$A$18:$A$88,0)+4,AR49*10+2)</f>
        <v>-2.5716874218749757</v>
      </c>
      <c r="AS50" s="229">
        <f>-1*INDEX(Coordenadas!$A$18:$CX$88,MATCH($F$18,Coordenadas!$A$18:$A$88,0)+4,AS49*10+2)</f>
        <v>-1.1569596093749785</v>
      </c>
      <c r="AT50" s="229">
        <f>-1*INDEX(Coordenadas!$A$18:$CX$88,MATCH($F$18,Coordenadas!$A$18:$A$88,0)+4,AT49*10+2)</f>
        <v>0.3536819531250106</v>
      </c>
      <c r="AU50" s="229">
        <f>-1*INDEX(Coordenadas!$A$18:$CX$88,MATCH($F$18,Coordenadas!$A$18:$A$88,0)+4,AU49*10+2)</f>
        <v>1.9602372656250033</v>
      </c>
      <c r="AV50" s="229">
        <f>-1*INDEX(Coordenadas!$A$18:$CX$88,MATCH($F$18,Coordenadas!$A$18:$A$88,0)+4,AV49*10+2)</f>
        <v>3.662706328125</v>
      </c>
      <c r="AW50" s="229">
        <f>-1*INDEX(Coordenadas!$A$18:$CX$88,MATCH($F$18,Coordenadas!$A$18:$A$88,0)+4,AW49*10+2)</f>
        <v>5.461089140625</v>
      </c>
      <c r="AX50" s="229">
        <f>-1*INDEX(Coordenadas!$A$18:$CX$88,MATCH($F$18,Coordenadas!$A$18:$A$88,0)+4,AX49*10+2)</f>
        <v>7.355385703124981</v>
      </c>
      <c r="AY50" s="229">
        <f>-1*INDEX(Coordenadas!$A$18:$CX$88,MATCH($F$18,Coordenadas!$A$18:$A$88,0)+4,AY49*10+2)</f>
        <v>9.345596015624988</v>
      </c>
      <c r="AZ50" s="229">
        <f>-1*INDEX(Coordenadas!$A$18:$CX$88,MATCH($F$18,Coordenadas!$A$18:$A$88,0)+4,AZ49*10+2)</f>
        <v>11.431720078124977</v>
      </c>
      <c r="BA50" s="229">
        <f>-1*INDEX(Coordenadas!$A$18:$CX$88,MATCH($F$18,Coordenadas!$A$18:$A$88,0)+4,BA49*10+2)</f>
        <v>13.613757890624946</v>
      </c>
      <c r="BB50" s="229">
        <f>-1*INDEX(Coordenadas!$A$18:$CX$88,MATCH($F$18,Coordenadas!$A$18:$A$88,0)+4,BB49*10+2)</f>
        <v>15.891709453124943</v>
      </c>
      <c r="BC50" s="229">
        <f>-1*INDEX(Coordenadas!$A$18:$CX$88,MATCH($F$18,Coordenadas!$A$18:$A$88,0)+4,BC49*10+2)</f>
        <v>18.26557476562494</v>
      </c>
      <c r="BD50" s="229">
        <f>-1*INDEX(Coordenadas!$A$18:$CX$88,MATCH($F$18,Coordenadas!$A$18:$A$88,0)+4,BD49*10+2)</f>
        <v>20.73535382812492</v>
      </c>
      <c r="BE50" s="229">
        <f>-1*INDEX(Coordenadas!$A$18:$CX$88,MATCH($F$18,Coordenadas!$A$18:$A$88,0)+4,BE49*10+2)</f>
        <v>23.30104664062493</v>
      </c>
      <c r="BF50" s="229">
        <f>-1*INDEX(Coordenadas!$A$18:$CX$88,MATCH($F$18,Coordenadas!$A$18:$A$88,0)+4,BF49*10+2)</f>
        <v>0</v>
      </c>
      <c r="BG50" s="229">
        <f>-1*INDEX(Coordenadas!$A$18:$CX$88,MATCH($F$18,Coordenadas!$A$18:$A$88,0)+4,BG49*10+2)</f>
        <v>0</v>
      </c>
      <c r="BH50" s="229">
        <f>-1*INDEX(Coordenadas!$A$18:$CX$88,MATCH($F$18,Coordenadas!$A$18:$A$88,0)+4,BH49*10+2)</f>
        <v>0</v>
      </c>
      <c r="BI50" s="229">
        <f>-1*INDEX(Coordenadas!$A$18:$CX$88,MATCH($F$18,Coordenadas!$A$18:$A$88,0)+4,BI49*10+2)</f>
        <v>0</v>
      </c>
      <c r="BJ50" s="229">
        <f>-1*INDEX(Coordenadas!$A$18:$CX$88,MATCH($F$18,Coordenadas!$A$18:$A$88,0)+4,BJ49*10+2)</f>
        <v>0</v>
      </c>
      <c r="BK50" s="229">
        <f>-1*INDEX(Coordenadas!$A$18:$CX$88,MATCH($F$18,Coordenadas!$A$18:$A$88,0)+4,BK49*10+2)</f>
        <v>0</v>
      </c>
      <c r="BL50" s="229">
        <f>-1*INDEX(Coordenadas!$A$18:$CX$88,MATCH($F$18,Coordenadas!$A$18:$A$88,0)+4,BL49*10+2)</f>
        <v>0</v>
      </c>
      <c r="BM50" s="229">
        <f>-1*INDEX(Coordenadas!$A$18:$CX$88,MATCH($F$18,Coordenadas!$A$18:$A$88,0)+4,BM49*10+2)</f>
        <v>0</v>
      </c>
      <c r="BN50" s="229">
        <f>-1*INDEX(Coordenadas!$A$18:$CX$88,MATCH($F$18,Coordenadas!$A$18:$A$88,0)+4,BN49*10+2)</f>
        <v>0</v>
      </c>
      <c r="BO50" s="229">
        <f>-1*INDEX(Coordenadas!$A$18:$CX$88,MATCH($F$18,Coordenadas!$A$18:$A$88,0)+4,BO49*10+2)</f>
        <v>0</v>
      </c>
      <c r="BP50" s="229">
        <f>-1*INDEX(Coordenadas!$A$18:$CX$88,MATCH($F$18,Coordenadas!$A$18:$A$88,0)+4,BP49*10+2)</f>
        <v>0</v>
      </c>
      <c r="BQ50" s="229">
        <f>-1*INDEX(Coordenadas!$A$18:$CX$88,MATCH($F$18,Coordenadas!$A$18:$A$88,0)+4,BQ49*10+2)</f>
        <v>0</v>
      </c>
      <c r="BR50" s="229">
        <f>-1*INDEX(Coordenadas!$A$18:$CX$88,MATCH($F$18,Coordenadas!$A$18:$A$88,0)+4,BR49*10+2)</f>
        <v>0</v>
      </c>
      <c r="BS50" s="229">
        <f>-1*INDEX(Coordenadas!$A$18:$CX$88,MATCH($F$18,Coordenadas!$A$18:$A$88,0)+4,BS49*10+2)</f>
        <v>0</v>
      </c>
      <c r="BT50" s="229">
        <f>-1*INDEX(Coordenadas!$A$18:$CX$88,MATCH($F$18,Coordenadas!$A$18:$A$88,0)+4,BT49*10+2)</f>
        <v>0</v>
      </c>
      <c r="BU50" s="229">
        <f>-1*INDEX(Coordenadas!$A$18:$CX$88,MATCH($F$18,Coordenadas!$A$18:$A$88,0)+4,BU49*10+2)</f>
        <v>0</v>
      </c>
      <c r="BV50" s="229">
        <f>-1*INDEX(Coordenadas!$A$18:$CX$88,MATCH($F$18,Coordenadas!$A$18:$A$88,0)+4,BV49*10+2)</f>
        <v>0</v>
      </c>
      <c r="BW50" s="229">
        <f>-1*INDEX(Coordenadas!$A$18:$CX$88,MATCH($F$18,Coordenadas!$A$18:$A$88,0)+4,BW49*10+2)</f>
        <v>0</v>
      </c>
      <c r="BX50" s="229">
        <f>-1*INDEX(Coordenadas!$A$18:$CX$88,MATCH($F$18,Coordenadas!$A$18:$A$88,0)+4,BX49*10+2)</f>
        <v>0</v>
      </c>
      <c r="BY50" s="229">
        <f>-1*INDEX(Coordenadas!$A$18:$CX$88,MATCH($F$18,Coordenadas!$A$18:$A$88,0)+4,BY49*10+2)</f>
        <v>0</v>
      </c>
      <c r="BZ50" s="229">
        <f>-1*INDEX(Coordenadas!$A$18:$CX$88,MATCH($F$18,Coordenadas!$A$18:$A$88,0)+4,BZ49*10+2)</f>
        <v>0</v>
      </c>
      <c r="CA50" s="229">
        <f>-1*INDEX(Coordenadas!$A$18:$CX$88,MATCH($F$18,Coordenadas!$A$18:$A$88,0)+4,CA49*10+2)</f>
        <v>0</v>
      </c>
      <c r="CB50" s="229">
        <f>-1*INDEX(Coordenadas!$A$18:$CX$88,MATCH($F$18,Coordenadas!$A$18:$A$88,0)+4,CB49*10+2)</f>
        <v>0</v>
      </c>
      <c r="CC50" s="229">
        <f>-1*INDEX(Coordenadas!$A$18:$CX$88,MATCH($F$18,Coordenadas!$A$18:$A$88,0)+4,CC49*10+2)</f>
        <v>0</v>
      </c>
      <c r="CD50" s="229">
        <f>-1*INDEX(Coordenadas!$A$18:$CX$88,MATCH($F$18,Coordenadas!$A$18:$A$88,0)+4,CD49*10+2)</f>
        <v>0</v>
      </c>
      <c r="CE50" s="229">
        <f>-1*INDEX(Coordenadas!$A$18:$CX$88,MATCH($F$18,Coordenadas!$A$18:$A$88,0)+4,CE49*10+2)</f>
        <v>0</v>
      </c>
      <c r="CF50" s="229">
        <f>-1*INDEX(Coordenadas!$A$18:$CX$88,MATCH($F$18,Coordenadas!$A$18:$A$88,0)+4,CF49*10+2)</f>
        <v>0</v>
      </c>
      <c r="CG50" s="229">
        <f>-1*INDEX(Coordenadas!$A$18:$CX$88,MATCH($F$18,Coordenadas!$A$18:$A$88,0)+4,CG49*10+2)</f>
        <v>0</v>
      </c>
      <c r="CH50" s="229">
        <f>-1*INDEX(Coordenadas!$A$18:$CX$88,MATCH($F$18,Coordenadas!$A$18:$A$88,0)+4,CH49*10+2)</f>
        <v>0</v>
      </c>
      <c r="CI50" s="229">
        <f>-1*INDEX(Coordenadas!$A$18:$CX$88,MATCH($F$18,Coordenadas!$A$18:$A$88,0)+4,CI49*10+2)</f>
        <v>0</v>
      </c>
      <c r="CJ50" s="229">
        <f>-1*INDEX(Coordenadas!$A$18:$CX$88,MATCH($F$18,Coordenadas!$A$18:$A$88,0)+4,CJ49*10+2)</f>
        <v>0</v>
      </c>
      <c r="CK50" s="229">
        <f>-1*INDEX(Coordenadas!$A$18:$CX$88,MATCH($F$18,Coordenadas!$A$18:$A$88,0)+4,CK49*10+2)</f>
        <v>0</v>
      </c>
      <c r="CL50" s="229">
        <f>-1*INDEX(Coordenadas!$A$18:$CX$88,MATCH($F$18,Coordenadas!$A$18:$A$88,0)+4,CL49*10+2)</f>
        <v>0</v>
      </c>
      <c r="CM50" s="229">
        <f>-1*INDEX(Coordenadas!$A$18:$CX$88,MATCH($F$18,Coordenadas!$A$18:$A$88,0)+4,CM49*10+2)</f>
        <v>0</v>
      </c>
      <c r="CN50" s="229">
        <f>-1*INDEX(Coordenadas!$A$18:$CX$88,MATCH($F$18,Coordenadas!$A$18:$A$88,0)+4,CN49*10+2)</f>
        <v>0</v>
      </c>
      <c r="CO50" s="229">
        <f>-1*INDEX(Coordenadas!$A$18:$CX$88,MATCH($F$18,Coordenadas!$A$18:$A$88,0)+4,CO49*10+2)</f>
        <v>0</v>
      </c>
      <c r="CP50" s="229">
        <f>-1*INDEX(Coordenadas!$A$18:$CX$88,MATCH($F$18,Coordenadas!$A$18:$A$88,0)+4,CP49*10+2)</f>
        <v>0</v>
      </c>
      <c r="CQ50" s="229">
        <f>-1*INDEX(Coordenadas!$A$18:$CX$88,MATCH($F$18,Coordenadas!$A$18:$A$88,0)+4,CQ49*10+2)</f>
        <v>0</v>
      </c>
      <c r="CR50" s="229">
        <f>-1*INDEX(Coordenadas!$A$18:$CX$88,MATCH($F$18,Coordenadas!$A$18:$A$88,0)+4,CR49*10+2)</f>
        <v>0</v>
      </c>
      <c r="CS50" s="229">
        <f>-1*INDEX(Coordenadas!$A$18:$CX$88,MATCH($F$18,Coordenadas!$A$18:$A$88,0)+4,CS49*10+2)</f>
        <v>0</v>
      </c>
      <c r="CT50" s="229">
        <f>-1*INDEX(Coordenadas!$A$18:$CX$88,MATCH($F$18,Coordenadas!$A$18:$A$88,0)+4,CT49*10+2)</f>
        <v>0</v>
      </c>
      <c r="CU50" s="229">
        <f>-1*INDEX(Coordenadas!$A$18:$CX$88,MATCH($F$18,Coordenadas!$A$18:$A$88,0)+4,CU49*10+2)</f>
        <v>0</v>
      </c>
      <c r="CV50" s="229">
        <f>-1*INDEX(Coordenadas!$A$18:$CX$88,MATCH($F$18,Coordenadas!$A$18:$A$88,0)+4,CV49*10+2)</f>
        <v>0</v>
      </c>
      <c r="CW50" s="229">
        <f>-1*INDEX(Coordenadas!$A$18:$CX$88,MATCH($F$18,Coordenadas!$A$18:$A$88,0)+4,CW49*10+2)</f>
        <v>0</v>
      </c>
    </row>
    <row r="51" spans="2:101" s="229" customFormat="1" ht="12.75">
      <c r="B51" s="229">
        <f>INDEX(Coordenadas!$A$18:$CX$88,MATCH($F$18,Coordenadas!$A$18:$A$88,0)+8,B49*10+2)</f>
        <v>26.616065625</v>
      </c>
      <c r="C51" s="229">
        <f>INDEX(Coordenadas!$A$18:$CX$88,MATCH($F$18,Coordenadas!$A$18:$A$88,0)+8,C49*10+2)</f>
        <v>25.656928125</v>
      </c>
      <c r="D51" s="229">
        <f>INDEX(Coordenadas!$A$18:$CX$88,MATCH($F$18,Coordenadas!$A$18:$A$88,0)+8,D49*10+2)</f>
        <v>24.697790625000003</v>
      </c>
      <c r="E51" s="229">
        <f>INDEX(Coordenadas!$A$18:$CX$88,MATCH($F$18,Coordenadas!$A$18:$A$88,0)+8,E49*10+2)</f>
        <v>23.738653125</v>
      </c>
      <c r="F51" s="229">
        <f>INDEX(Coordenadas!$A$18:$CX$88,MATCH($F$18,Coordenadas!$A$18:$A$88,0)+8,F49*10+2)</f>
        <v>22.779515625000002</v>
      </c>
      <c r="G51" s="229">
        <f>INDEX(Coordenadas!$A$18:$CX$88,MATCH($F$18,Coordenadas!$A$18:$A$88,0)+8,G49*10+2)</f>
        <v>21.820378125</v>
      </c>
      <c r="H51" s="229">
        <f>INDEX(Coordenadas!$A$18:$CX$88,MATCH($F$18,Coordenadas!$A$18:$A$88,0)+8,H49*10+2)</f>
        <v>20.861240625</v>
      </c>
      <c r="I51" s="229">
        <f>INDEX(Coordenadas!$A$18:$CX$88,MATCH($F$18,Coordenadas!$A$18:$A$88,0)+8,I49*10+2)</f>
        <v>19.902103125000004</v>
      </c>
      <c r="J51" s="229">
        <f>INDEX(Coordenadas!$A$18:$CX$88,MATCH($F$18,Coordenadas!$A$18:$A$88,0)+8,J49*10+2)</f>
        <v>18.942965625000003</v>
      </c>
      <c r="K51" s="229">
        <f>INDEX(Coordenadas!$A$18:$CX$88,MATCH($F$18,Coordenadas!$A$18:$A$88,0)+8,K49*10+2)</f>
        <v>17.983828125000002</v>
      </c>
      <c r="L51" s="229">
        <f>INDEX(Coordenadas!$A$18:$CX$88,MATCH($F$18,Coordenadas!$A$18:$A$88,0)+8,L49*10+2)</f>
        <v>17.024690625</v>
      </c>
      <c r="M51" s="229">
        <f>INDEX(Coordenadas!$A$18:$CX$88,MATCH($F$18,Coordenadas!$A$18:$A$88,0)+8,M49*10+2)</f>
        <v>16.065553125</v>
      </c>
      <c r="N51" s="229">
        <f>INDEX(Coordenadas!$A$18:$CX$88,MATCH($F$18,Coordenadas!$A$18:$A$88,0)+8,N49*10+2)</f>
        <v>15.106415625</v>
      </c>
      <c r="O51" s="229">
        <f>INDEX(Coordenadas!$A$18:$CX$88,MATCH($F$18,Coordenadas!$A$18:$A$88,0)+8,O49*10+2)</f>
        <v>14.147278125</v>
      </c>
      <c r="P51" s="229">
        <f>INDEX(Coordenadas!$A$18:$CX$88,MATCH($F$18,Coordenadas!$A$18:$A$88,0)+8,P49*10+2)</f>
        <v>13.188140624999999</v>
      </c>
      <c r="Q51" s="229">
        <f>INDEX(Coordenadas!$A$18:$CX$88,MATCH($F$18,Coordenadas!$A$18:$A$88,0)+8,Q49*10+2)</f>
        <v>12.229003124999997</v>
      </c>
      <c r="R51" s="229">
        <f>INDEX(Coordenadas!$A$18:$CX$88,MATCH($F$18,Coordenadas!$A$18:$A$88,0)+8,R49*10+2)</f>
        <v>11.269865624999996</v>
      </c>
      <c r="S51" s="229">
        <f>INDEX(Coordenadas!$A$18:$CX$88,MATCH($F$18,Coordenadas!$A$18:$A$88,0)+8,S49*10+2)</f>
        <v>10.310728124999995</v>
      </c>
      <c r="T51" s="229">
        <f>INDEX(Coordenadas!$A$18:$CX$88,MATCH($F$18,Coordenadas!$A$18:$A$88,0)+8,T49*10+2)</f>
        <v>9.351590624999995</v>
      </c>
      <c r="U51" s="229">
        <f>INDEX(Coordenadas!$A$18:$CX$88,MATCH($F$18,Coordenadas!$A$18:$A$88,0)+8,U49*10+2)</f>
        <v>8.392453124999994</v>
      </c>
      <c r="V51" s="229">
        <f>INDEX(Coordenadas!$A$18:$CX$88,MATCH($F$18,Coordenadas!$A$18:$A$88,0)+8,V49*10+2)</f>
        <v>7.433315624999995</v>
      </c>
      <c r="W51" s="229">
        <f>INDEX(Coordenadas!$A$18:$CX$88,MATCH($F$18,Coordenadas!$A$18:$A$88,0)+8,W49*10+2)</f>
        <v>6.474178124999995</v>
      </c>
      <c r="X51" s="229">
        <f>INDEX(Coordenadas!$A$18:$CX$88,MATCH($F$18,Coordenadas!$A$18:$A$88,0)+8,X49*10+2)</f>
        <v>5.515040624999993</v>
      </c>
      <c r="Y51" s="229">
        <f>INDEX(Coordenadas!$A$18:$CX$88,MATCH($F$18,Coordenadas!$A$18:$A$88,0)+8,Y49*10+2)</f>
        <v>4.555903124999993</v>
      </c>
      <c r="Z51" s="229">
        <f>INDEX(Coordenadas!$A$18:$CX$88,MATCH($F$18,Coordenadas!$A$18:$A$88,0)+8,Z49*10+2)</f>
        <v>3.5967656249999918</v>
      </c>
      <c r="AA51" s="229">
        <f>INDEX(Coordenadas!$A$18:$CX$88,MATCH($F$18,Coordenadas!$A$18:$A$88,0)+8,AA49*10+2)</f>
        <v>2.6376281249999907</v>
      </c>
      <c r="AB51" s="229">
        <f>INDEX(Coordenadas!$A$18:$CX$88,MATCH($F$18,Coordenadas!$A$18:$A$88,0)+8,AB49*10+2)</f>
        <v>1.6784906249999898</v>
      </c>
      <c r="AC51" s="229">
        <f>INDEX(Coordenadas!$A$18:$CX$88,MATCH($F$18,Coordenadas!$A$18:$A$88,0)+8,AC49*10+2)</f>
        <v>0.7193531249999889</v>
      </c>
      <c r="AD51" s="229">
        <f>INDEX(Coordenadas!$A$18:$CX$88,MATCH($F$18,Coordenadas!$A$18:$A$88,0)+8,AD49*10+2)</f>
        <v>-0.23978437500001196</v>
      </c>
      <c r="AE51" s="229">
        <f>INDEX(Coordenadas!$A$18:$CX$88,MATCH($F$18,Coordenadas!$A$18:$A$88,0)+8,AE49*10+2)</f>
        <v>-1.1989218750000128</v>
      </c>
      <c r="AF51" s="229">
        <f>INDEX(Coordenadas!$A$18:$CX$88,MATCH($F$18,Coordenadas!$A$18:$A$88,0)+8,AF49*10+2)</f>
        <v>-2.158059375000014</v>
      </c>
      <c r="AG51" s="229">
        <f>INDEX(Coordenadas!$A$18:$CX$88,MATCH($F$18,Coordenadas!$A$18:$A$88,0)+8,AG49*10+2)</f>
        <v>-3.1171968750000145</v>
      </c>
      <c r="AH51" s="229">
        <f>INDEX(Coordenadas!$A$18:$CX$88,MATCH($F$18,Coordenadas!$A$18:$A$88,0)+8,AH49*10+2)</f>
        <v>-4.076334375000016</v>
      </c>
      <c r="AI51" s="229">
        <f>INDEX(Coordenadas!$A$18:$CX$88,MATCH($F$18,Coordenadas!$A$18:$A$88,0)+8,AI49*10+2)</f>
        <v>-5.035471875000017</v>
      </c>
      <c r="AJ51" s="229">
        <f>INDEX(Coordenadas!$A$18:$CX$88,MATCH($F$18,Coordenadas!$A$18:$A$88,0)+8,AJ49*10+2)</f>
        <v>-5.994609375000018</v>
      </c>
      <c r="AK51" s="229">
        <f>INDEX(Coordenadas!$A$18:$CX$88,MATCH($F$18,Coordenadas!$A$18:$A$88,0)+8,AK49*10+2)</f>
        <v>-6.953746875000018</v>
      </c>
      <c r="AL51" s="229">
        <f>INDEX(Coordenadas!$A$18:$CX$88,MATCH($F$18,Coordenadas!$A$18:$A$88,0)+8,AL49*10+2)</f>
        <v>-7.912884375000019</v>
      </c>
      <c r="AM51" s="229">
        <f>INDEX(Coordenadas!$A$18:$CX$88,MATCH($F$18,Coordenadas!$A$18:$A$88,0)+8,AM49*10+2)</f>
        <v>-8.872021875000021</v>
      </c>
      <c r="AN51" s="229">
        <f>INDEX(Coordenadas!$A$18:$CX$88,MATCH($F$18,Coordenadas!$A$18:$A$88,0)+8,AN49*10+2)</f>
        <v>-9.831159375000022</v>
      </c>
      <c r="AO51" s="229">
        <f>INDEX(Coordenadas!$A$18:$CX$88,MATCH($F$18,Coordenadas!$A$18:$A$88,0)+8,AO49*10+2)</f>
        <v>-10.790296875000022</v>
      </c>
      <c r="AP51" s="229">
        <f>INDEX(Coordenadas!$A$18:$CX$88,MATCH($F$18,Coordenadas!$A$18:$A$88,0)+8,AP49*10+2)</f>
        <v>-11.749434375000018</v>
      </c>
      <c r="AQ51" s="229">
        <f>INDEX(Coordenadas!$A$18:$CX$88,MATCH($F$18,Coordenadas!$A$18:$A$88,0)+8,AQ49*10+2)</f>
        <v>-12.708571875000015</v>
      </c>
      <c r="AR51" s="229">
        <f>INDEX(Coordenadas!$A$18:$CX$88,MATCH($F$18,Coordenadas!$A$18:$A$88,0)+8,AR49*10+2)</f>
        <v>-13.667709375000012</v>
      </c>
      <c r="AS51" s="229">
        <f>INDEX(Coordenadas!$A$18:$CX$88,MATCH($F$18,Coordenadas!$A$18:$A$88,0)+8,AS49*10+2)</f>
        <v>-14.626846875000007</v>
      </c>
      <c r="AT51" s="229">
        <f>INDEX(Coordenadas!$A$18:$CX$88,MATCH($F$18,Coordenadas!$A$18:$A$88,0)+8,AT49*10+2)</f>
        <v>-15.585984375000004</v>
      </c>
      <c r="AU51" s="229">
        <f>INDEX(Coordenadas!$A$18:$CX$88,MATCH($F$18,Coordenadas!$A$18:$A$88,0)+8,AU49*10+2)</f>
        <v>-16.545121875</v>
      </c>
      <c r="AV51" s="229">
        <f>INDEX(Coordenadas!$A$18:$CX$88,MATCH($F$18,Coordenadas!$A$18:$A$88,0)+8,AV49*10+2)</f>
        <v>-17.504259374999997</v>
      </c>
      <c r="AW51" s="229">
        <f>INDEX(Coordenadas!$A$18:$CX$88,MATCH($F$18,Coordenadas!$A$18:$A$88,0)+8,AW49*10+2)</f>
        <v>-18.463396874999994</v>
      </c>
      <c r="AX51" s="229">
        <f>INDEX(Coordenadas!$A$18:$CX$88,MATCH($F$18,Coordenadas!$A$18:$A$88,0)+8,AX49*10+2)</f>
        <v>-19.42253437499999</v>
      </c>
      <c r="AY51" s="229">
        <f>INDEX(Coordenadas!$A$18:$CX$88,MATCH($F$18,Coordenadas!$A$18:$A$88,0)+8,AY49*10+2)</f>
        <v>-20.381671874999988</v>
      </c>
      <c r="AZ51" s="229">
        <f>INDEX(Coordenadas!$A$18:$CX$88,MATCH($F$18,Coordenadas!$A$18:$A$88,0)+8,AZ49*10+2)</f>
        <v>-21.340809374999985</v>
      </c>
      <c r="BA51" s="229">
        <f>INDEX(Coordenadas!$A$18:$CX$88,MATCH($F$18,Coordenadas!$A$18:$A$88,0)+8,BA49*10+2)</f>
        <v>-22.299946874999982</v>
      </c>
      <c r="BB51" s="229">
        <f>INDEX(Coordenadas!$A$18:$CX$88,MATCH($F$18,Coordenadas!$A$18:$A$88,0)+8,BB49*10+2)</f>
        <v>-23.259084374999976</v>
      </c>
      <c r="BC51" s="229">
        <f>INDEX(Coordenadas!$A$18:$CX$88,MATCH($F$18,Coordenadas!$A$18:$A$88,0)+8,BC49*10+2)</f>
        <v>-24.218221874999976</v>
      </c>
      <c r="BD51" s="229">
        <f>INDEX(Coordenadas!$A$18:$CX$88,MATCH($F$18,Coordenadas!$A$18:$A$88,0)+8,BD49*10+2)</f>
        <v>-25.17735937499997</v>
      </c>
      <c r="BE51" s="229">
        <f>INDEX(Coordenadas!$A$18:$CX$88,MATCH($F$18,Coordenadas!$A$18:$A$88,0)+8,BE49*10+2)</f>
        <v>-26.13649687499997</v>
      </c>
      <c r="BF51" s="229">
        <f>INDEX(Coordenadas!$A$18:$CX$88,MATCH($F$18,Coordenadas!$A$18:$A$88,0)+8,BF49*10+2)</f>
        <v>0</v>
      </c>
      <c r="BG51" s="229">
        <f>INDEX(Coordenadas!$A$18:$CX$88,MATCH($F$18,Coordenadas!$A$18:$A$88,0)+8,BG49*10+2)</f>
        <v>0</v>
      </c>
      <c r="BH51" s="229">
        <f>INDEX(Coordenadas!$A$18:$CX$88,MATCH($F$18,Coordenadas!$A$18:$A$88,0)+8,BH49*10+2)</f>
        <v>0</v>
      </c>
      <c r="BI51" s="229">
        <f>INDEX(Coordenadas!$A$18:$CX$88,MATCH($F$18,Coordenadas!$A$18:$A$88,0)+8,BI49*10+2)</f>
        <v>0</v>
      </c>
      <c r="BJ51" s="229">
        <f>INDEX(Coordenadas!$A$18:$CX$88,MATCH($F$18,Coordenadas!$A$18:$A$88,0)+8,BJ49*10+2)</f>
        <v>0</v>
      </c>
      <c r="BK51" s="229">
        <f>INDEX(Coordenadas!$A$18:$CX$88,MATCH($F$18,Coordenadas!$A$18:$A$88,0)+8,BK49*10+2)</f>
        <v>0</v>
      </c>
      <c r="BL51" s="229">
        <f>INDEX(Coordenadas!$A$18:$CX$88,MATCH($F$18,Coordenadas!$A$18:$A$88,0)+8,BL49*10+2)</f>
        <v>0</v>
      </c>
      <c r="BM51" s="229">
        <f>INDEX(Coordenadas!$A$18:$CX$88,MATCH($F$18,Coordenadas!$A$18:$A$88,0)+8,BM49*10+2)</f>
        <v>0</v>
      </c>
      <c r="BN51" s="229">
        <f>INDEX(Coordenadas!$A$18:$CX$88,MATCH($F$18,Coordenadas!$A$18:$A$88,0)+8,BN49*10+2)</f>
        <v>0</v>
      </c>
      <c r="BO51" s="229">
        <f>INDEX(Coordenadas!$A$18:$CX$88,MATCH($F$18,Coordenadas!$A$18:$A$88,0)+8,BO49*10+2)</f>
        <v>0</v>
      </c>
      <c r="BP51" s="229">
        <f>INDEX(Coordenadas!$A$18:$CX$88,MATCH($F$18,Coordenadas!$A$18:$A$88,0)+8,BP49*10+2)</f>
        <v>0</v>
      </c>
      <c r="BQ51" s="229">
        <f>INDEX(Coordenadas!$A$18:$CX$88,MATCH($F$18,Coordenadas!$A$18:$A$88,0)+8,BQ49*10+2)</f>
        <v>0</v>
      </c>
      <c r="BR51" s="229">
        <f>INDEX(Coordenadas!$A$18:$CX$88,MATCH($F$18,Coordenadas!$A$18:$A$88,0)+8,BR49*10+2)</f>
        <v>0</v>
      </c>
      <c r="BS51" s="229">
        <f>INDEX(Coordenadas!$A$18:$CX$88,MATCH($F$18,Coordenadas!$A$18:$A$88,0)+8,BS49*10+2)</f>
        <v>0</v>
      </c>
      <c r="BT51" s="229">
        <f>INDEX(Coordenadas!$A$18:$CX$88,MATCH($F$18,Coordenadas!$A$18:$A$88,0)+8,BT49*10+2)</f>
        <v>0</v>
      </c>
      <c r="BU51" s="229">
        <f>INDEX(Coordenadas!$A$18:$CX$88,MATCH($F$18,Coordenadas!$A$18:$A$88,0)+8,BU49*10+2)</f>
        <v>0</v>
      </c>
      <c r="BV51" s="229">
        <f>INDEX(Coordenadas!$A$18:$CX$88,MATCH($F$18,Coordenadas!$A$18:$A$88,0)+8,BV49*10+2)</f>
        <v>0</v>
      </c>
      <c r="BW51" s="229">
        <f>INDEX(Coordenadas!$A$18:$CX$88,MATCH($F$18,Coordenadas!$A$18:$A$88,0)+8,BW49*10+2)</f>
        <v>0</v>
      </c>
      <c r="BX51" s="229">
        <f>INDEX(Coordenadas!$A$18:$CX$88,MATCH($F$18,Coordenadas!$A$18:$A$88,0)+8,BX49*10+2)</f>
        <v>0</v>
      </c>
      <c r="BY51" s="229">
        <f>INDEX(Coordenadas!$A$18:$CX$88,MATCH($F$18,Coordenadas!$A$18:$A$88,0)+8,BY49*10+2)</f>
        <v>0</v>
      </c>
      <c r="BZ51" s="229">
        <f>INDEX(Coordenadas!$A$18:$CX$88,MATCH($F$18,Coordenadas!$A$18:$A$88,0)+8,BZ49*10+2)</f>
        <v>0</v>
      </c>
      <c r="CA51" s="229">
        <f>INDEX(Coordenadas!$A$18:$CX$88,MATCH($F$18,Coordenadas!$A$18:$A$88,0)+8,CA49*10+2)</f>
        <v>0</v>
      </c>
      <c r="CB51" s="229">
        <f>INDEX(Coordenadas!$A$18:$CX$88,MATCH($F$18,Coordenadas!$A$18:$A$88,0)+8,CB49*10+2)</f>
        <v>0</v>
      </c>
      <c r="CC51" s="229">
        <f>INDEX(Coordenadas!$A$18:$CX$88,MATCH($F$18,Coordenadas!$A$18:$A$88,0)+8,CC49*10+2)</f>
        <v>0</v>
      </c>
      <c r="CD51" s="229">
        <f>INDEX(Coordenadas!$A$18:$CX$88,MATCH($F$18,Coordenadas!$A$18:$A$88,0)+8,CD49*10+2)</f>
        <v>0</v>
      </c>
      <c r="CE51" s="229">
        <f>INDEX(Coordenadas!$A$18:$CX$88,MATCH($F$18,Coordenadas!$A$18:$A$88,0)+8,CE49*10+2)</f>
        <v>0</v>
      </c>
      <c r="CF51" s="229">
        <f>INDEX(Coordenadas!$A$18:$CX$88,MATCH($F$18,Coordenadas!$A$18:$A$88,0)+8,CF49*10+2)</f>
        <v>0</v>
      </c>
      <c r="CG51" s="229">
        <f>INDEX(Coordenadas!$A$18:$CX$88,MATCH($F$18,Coordenadas!$A$18:$A$88,0)+8,CG49*10+2)</f>
        <v>0</v>
      </c>
      <c r="CH51" s="229">
        <f>INDEX(Coordenadas!$A$18:$CX$88,MATCH($F$18,Coordenadas!$A$18:$A$88,0)+8,CH49*10+2)</f>
        <v>0</v>
      </c>
      <c r="CI51" s="229">
        <f>INDEX(Coordenadas!$A$18:$CX$88,MATCH($F$18,Coordenadas!$A$18:$A$88,0)+8,CI49*10+2)</f>
        <v>0</v>
      </c>
      <c r="CJ51" s="229">
        <f>INDEX(Coordenadas!$A$18:$CX$88,MATCH($F$18,Coordenadas!$A$18:$A$88,0)+8,CJ49*10+2)</f>
        <v>0</v>
      </c>
      <c r="CK51" s="229">
        <f>INDEX(Coordenadas!$A$18:$CX$88,MATCH($F$18,Coordenadas!$A$18:$A$88,0)+8,CK49*10+2)</f>
        <v>0</v>
      </c>
      <c r="CL51" s="229">
        <f>INDEX(Coordenadas!$A$18:$CX$88,MATCH($F$18,Coordenadas!$A$18:$A$88,0)+8,CL49*10+2)</f>
        <v>0</v>
      </c>
      <c r="CM51" s="229">
        <f>INDEX(Coordenadas!$A$18:$CX$88,MATCH($F$18,Coordenadas!$A$18:$A$88,0)+8,CM49*10+2)</f>
        <v>0</v>
      </c>
      <c r="CN51" s="229">
        <f>INDEX(Coordenadas!$A$18:$CX$88,MATCH($F$18,Coordenadas!$A$18:$A$88,0)+8,CN49*10+2)</f>
        <v>0</v>
      </c>
      <c r="CO51" s="229">
        <f>INDEX(Coordenadas!$A$18:$CX$88,MATCH($F$18,Coordenadas!$A$18:$A$88,0)+8,CO49*10+2)</f>
        <v>0</v>
      </c>
      <c r="CP51" s="229">
        <f>INDEX(Coordenadas!$A$18:$CX$88,MATCH($F$18,Coordenadas!$A$18:$A$88,0)+8,CP49*10+2)</f>
        <v>0</v>
      </c>
      <c r="CQ51" s="229">
        <f>INDEX(Coordenadas!$A$18:$CX$88,MATCH($F$18,Coordenadas!$A$18:$A$88,0)+8,CQ49*10+2)</f>
        <v>0</v>
      </c>
      <c r="CR51" s="229">
        <f>INDEX(Coordenadas!$A$18:$CX$88,MATCH($F$18,Coordenadas!$A$18:$A$88,0)+8,CR49*10+2)</f>
        <v>0</v>
      </c>
      <c r="CS51" s="229">
        <f>INDEX(Coordenadas!$A$18:$CX$88,MATCH($F$18,Coordenadas!$A$18:$A$88,0)+8,CS49*10+2)</f>
        <v>0</v>
      </c>
      <c r="CT51" s="229">
        <f>INDEX(Coordenadas!$A$18:$CX$88,MATCH($F$18,Coordenadas!$A$18:$A$88,0)+8,CT49*10+2)</f>
        <v>0</v>
      </c>
      <c r="CU51" s="229">
        <f>INDEX(Coordenadas!$A$18:$CX$88,MATCH($F$18,Coordenadas!$A$18:$A$88,0)+8,CU49*10+2)</f>
        <v>0</v>
      </c>
      <c r="CV51" s="229">
        <f>INDEX(Coordenadas!$A$18:$CX$88,MATCH($F$18,Coordenadas!$A$18:$A$88,0)+8,CV49*10+2)</f>
        <v>0</v>
      </c>
      <c r="CW51" s="229">
        <f>INDEX(Coordenadas!$A$18:$CX$88,MATCH($F$18,Coordenadas!$A$18:$A$88,0)+8,CW49*10+2)</f>
        <v>0</v>
      </c>
    </row>
    <row r="52" spans="2:101" s="229" customFormat="1" ht="12.75">
      <c r="B52" s="229">
        <f>-1*INDEX(Coordenadas!$A$18:$CX$88,MATCH($F$18,Coordenadas!$A$18:$A$88,0)+16,B49*10+2)</f>
        <v>0</v>
      </c>
      <c r="C52" s="229">
        <f>-1*INDEX(Coordenadas!$A$18:$CX$88,MATCH($F$18,Coordenadas!$A$18:$A$88,0)+16,C49*10+2)</f>
        <v>-0.00487077675890176</v>
      </c>
      <c r="D52" s="229">
        <f>-1*INDEX(Coordenadas!$A$18:$CX$88,MATCH($F$18,Coordenadas!$A$18:$A$88,0)+16,D49*10+2)</f>
        <v>-0.01877469004719005</v>
      </c>
      <c r="E52" s="229">
        <f>-1*INDEX(Coordenadas!$A$18:$CX$88,MATCH($F$18,Coordenadas!$A$18:$A$88,0)+16,E49*10+2)</f>
        <v>-0.04067863175675676</v>
      </c>
      <c r="F52" s="229">
        <f>-1*INDEX(Coordenadas!$A$18:$CX$88,MATCH($F$18,Coordenadas!$A$18:$A$88,0)+16,F49*10+2)</f>
        <v>-0.06958885027885028</v>
      </c>
      <c r="G52" s="229">
        <f>-1*INDEX(Coordenadas!$A$18:$CX$88,MATCH($F$18,Coordenadas!$A$18:$A$88,0)+16,G49*10+2)</f>
        <v>-0.10455095050407551</v>
      </c>
      <c r="H52" s="229">
        <f>-1*INDEX(Coordenadas!$A$18:$CX$88,MATCH($F$18,Coordenadas!$A$18:$A$88,0)+16,H49*10+2)</f>
        <v>-0.1446498938223938</v>
      </c>
      <c r="I52" s="229">
        <f>-1*INDEX(Coordenadas!$A$18:$CX$88,MATCH($F$18,Coordenadas!$A$18:$A$88,0)+16,I49*10+2)</f>
        <v>-0.18900999812312308</v>
      </c>
      <c r="J52" s="229">
        <f>-1*INDEX(Coordenadas!$A$18:$CX$88,MATCH($F$18,Coordenadas!$A$18:$A$88,0)+16,J49*10+2)</f>
        <v>-0.23679493779493777</v>
      </c>
      <c r="K52" s="229">
        <f>-1*INDEX(Coordenadas!$A$18:$CX$88,MATCH($F$18,Coordenadas!$A$18:$A$88,0)+16,K49*10+2)</f>
        <v>-0.28720774372586866</v>
      </c>
      <c r="L52" s="229">
        <f>-1*INDEX(Coordenadas!$A$18:$CX$88,MATCH($F$18,Coordenadas!$A$18:$A$88,0)+16,L49*10+2)</f>
        <v>-0.3394908033033032</v>
      </c>
      <c r="M52" s="229">
        <f>-1*INDEX(Coordenadas!$A$18:$CX$88,MATCH($F$18,Coordenadas!$A$18:$A$88,0)+16,M49*10+2)</f>
        <v>-0.39292586041398525</v>
      </c>
      <c r="N52" s="229">
        <f>-1*INDEX(Coordenadas!$A$18:$CX$88,MATCH($F$18,Coordenadas!$A$18:$A$88,0)+16,N49*10+2)</f>
        <v>-0.44683401544401535</v>
      </c>
      <c r="O52" s="229">
        <f>-1*INDEX(Coordenadas!$A$18:$CX$88,MATCH($F$18,Coordenadas!$A$18:$A$88,0)+16,O49*10+2)</f>
        <v>-0.5005757252788503</v>
      </c>
      <c r="P52" s="229">
        <f>-1*INDEX(Coordenadas!$A$18:$CX$88,MATCH($F$18,Coordenadas!$A$18:$A$88,0)+16,P49*10+2)</f>
        <v>-0.5535508033033033</v>
      </c>
      <c r="Q52" s="229">
        <f>-1*INDEX(Coordenadas!$A$18:$CX$88,MATCH($F$18,Coordenadas!$A$18:$A$88,0)+16,Q49*10+2)</f>
        <v>-0.6051984194015446</v>
      </c>
      <c r="R52" s="229">
        <f>-1*INDEX(Coordenadas!$A$18:$CX$88,MATCH($F$18,Coordenadas!$A$18:$A$88,0)+16,R49*10+2)</f>
        <v>-0.6549970999571</v>
      </c>
      <c r="S52" s="229">
        <f>-1*INDEX(Coordenadas!$A$18:$CX$88,MATCH($F$18,Coordenadas!$A$18:$A$88,0)+16,S49*10+2)</f>
        <v>-0.702464727852853</v>
      </c>
      <c r="T52" s="229">
        <f>-1*INDEX(Coordenadas!$A$18:$CX$88,MATCH($F$18,Coordenadas!$A$18:$A$88,0)+16,T49*10+2)</f>
        <v>-0.7471585424710423</v>
      </c>
      <c r="U52" s="229">
        <f>-1*INDEX(Coordenadas!$A$18:$CX$88,MATCH($F$18,Coordenadas!$A$18:$A$88,0)+16,U49*10+2)</f>
        <v>-0.7886751396932649</v>
      </c>
      <c r="V52" s="229">
        <f>-1*INDEX(Coordenadas!$A$18:$CX$88,MATCH($F$18,Coordenadas!$A$18:$A$88,0)+16,V49*10+2)</f>
        <v>-0.8266504719004723</v>
      </c>
      <c r="W52" s="229">
        <f>-1*INDEX(Coordenadas!$A$18:$CX$88,MATCH($F$18,Coordenadas!$A$18:$A$88,0)+16,W49*10+2)</f>
        <v>-0.8607598479729728</v>
      </c>
      <c r="X52" s="229">
        <f>-1*INDEX(Coordenadas!$A$18:$CX$88,MATCH($F$18,Coordenadas!$A$18:$A$88,0)+16,X49*10+2)</f>
        <v>-0.8907179332904333</v>
      </c>
      <c r="Y52" s="229">
        <f>-1*INDEX(Coordenadas!$A$18:$CX$88,MATCH($F$18,Coordenadas!$A$18:$A$88,0)+16,Y49*10+2)</f>
        <v>-0.9162787497318747</v>
      </c>
      <c r="Z52" s="229">
        <f>-1*INDEX(Coordenadas!$A$18:$CX$88,MATCH($F$18,Coordenadas!$A$18:$A$88,0)+16,Z49*10+2)</f>
        <v>-0.9372356756756756</v>
      </c>
      <c r="AA52" s="229">
        <f>-1*INDEX(Coordenadas!$A$18:$CX$88,MATCH($F$18,Coordenadas!$A$18:$A$88,0)+16,AA49*10+2)</f>
        <v>-0.9534214459995709</v>
      </c>
      <c r="AB52" s="229">
        <f>-1*INDEX(Coordenadas!$A$18:$CX$88,MATCH($F$18,Coordenadas!$A$18:$A$88,0)+16,AB49*10+2)</f>
        <v>-0.9647081520806517</v>
      </c>
      <c r="AC52" s="229">
        <f>-1*INDEX(Coordenadas!$A$18:$CX$88,MATCH($F$18,Coordenadas!$A$18:$A$88,0)+16,AC49*10+2)</f>
        <v>-0.9710072417953667</v>
      </c>
      <c r="AD52" s="229">
        <f>-1*INDEX(Coordenadas!$A$18:$CX$88,MATCH($F$18,Coordenadas!$A$18:$A$88,0)+16,AD49*10+2)</f>
        <v>-0.9722695195195192</v>
      </c>
      <c r="AE52" s="229">
        <f>-1*INDEX(Coordenadas!$A$18:$CX$88,MATCH($F$18,Coordenadas!$A$18:$A$88,0)+16,AE49*10+2)</f>
        <v>-0.9684851461282711</v>
      </c>
      <c r="AF52" s="229">
        <f>-1*INDEX(Coordenadas!$A$18:$CX$88,MATCH($F$18,Coordenadas!$A$18:$A$88,0)+16,AF49*10+2)</f>
        <v>-0.9596836389961394</v>
      </c>
      <c r="AG52" s="229">
        <f>-1*INDEX(Coordenadas!$A$18:$CX$88,MATCH($F$18,Coordenadas!$A$18:$A$88,0)+16,AG49*10+2)</f>
        <v>-0.9459338719969963</v>
      </c>
      <c r="AH52" s="229">
        <f>-1*INDEX(Coordenadas!$A$18:$CX$88,MATCH($F$18,Coordenadas!$A$18:$A$88,0)+16,AH49*10+2)</f>
        <v>-0.9273440755040742</v>
      </c>
      <c r="AI52" s="229">
        <f>-1*INDEX(Coordenadas!$A$18:$CX$88,MATCH($F$18,Coordenadas!$A$18:$A$88,0)+16,AI49*10+2)</f>
        <v>-0.904061836389961</v>
      </c>
      <c r="AJ52" s="229">
        <f>-1*INDEX(Coordenadas!$A$18:$CX$88,MATCH($F$18,Coordenadas!$A$18:$A$88,0)+16,AJ49*10+2)</f>
        <v>-0.8762740980265978</v>
      </c>
      <c r="AK52" s="229">
        <f>-1*INDEX(Coordenadas!$A$18:$CX$88,MATCH($F$18,Coordenadas!$A$18:$A$88,0)+16,AK49*10+2)</f>
        <v>-0.8442071602852849</v>
      </c>
      <c r="AL52" s="229">
        <f>-1*INDEX(Coordenadas!$A$18:$CX$88,MATCH($F$18,Coordenadas!$A$18:$A$88,0)+16,AL49*10+2)</f>
        <v>-0.8081266795366777</v>
      </c>
      <c r="AM52" s="229">
        <f>-1*INDEX(Coordenadas!$A$18:$CX$88,MATCH($F$18,Coordenadas!$A$18:$A$88,0)+16,AM49*10+2)</f>
        <v>-0.7683376686507927</v>
      </c>
      <c r="AN52" s="229">
        <f>-1*INDEX(Coordenadas!$A$18:$CX$88,MATCH($F$18,Coordenadas!$A$18:$A$88,0)+16,AN49*10+2)</f>
        <v>-0.7251844969969959</v>
      </c>
      <c r="AO52" s="229">
        <f>-1*INDEX(Coordenadas!$A$18:$CX$88,MATCH($F$18,Coordenadas!$A$18:$A$88,0)+16,AO49*10+2)</f>
        <v>-0.6790508904440153</v>
      </c>
      <c r="AP52" s="229">
        <f>-1*INDEX(Coordenadas!$A$18:$CX$88,MATCH($F$18,Coordenadas!$A$18:$A$88,0)+16,AP49*10+2)</f>
        <v>-0.630359931359929</v>
      </c>
      <c r="AQ52" s="229">
        <f>-1*INDEX(Coordenadas!$A$18:$CX$88,MATCH($F$18,Coordenadas!$A$18:$A$88,0)+16,AQ49*10+2)</f>
        <v>-0.5795740586121838</v>
      </c>
      <c r="AR52" s="229">
        <f>-1*INDEX(Coordenadas!$A$18:$CX$88,MATCH($F$18,Coordenadas!$A$18:$A$88,0)+16,AR49*10+2)</f>
        <v>-0.5271950675675672</v>
      </c>
      <c r="AS52" s="229">
        <f>-1*INDEX(Coordenadas!$A$18:$CX$88,MATCH($F$18,Coordenadas!$A$18:$A$88,0)+16,AS49*10+2)</f>
        <v>-0.4737641100922352</v>
      </c>
      <c r="AT52" s="229">
        <f>-1*INDEX(Coordenadas!$A$18:$CX$88,MATCH($F$18,Coordenadas!$A$18:$A$88,0)+16,AT49*10+2)</f>
        <v>-0.419861694551694</v>
      </c>
      <c r="AU52" s="229">
        <f>-1*INDEX(Coordenadas!$A$18:$CX$88,MATCH($F$18,Coordenadas!$A$18:$A$88,0)+16,AU49*10+2)</f>
        <v>-0.3661076858108105</v>
      </c>
      <c r="AV52" s="229">
        <f>-1*INDEX(Coordenadas!$A$18:$CX$88,MATCH($F$18,Coordenadas!$A$18:$A$88,0)+16,AV49*10+2)</f>
        <v>-0.31316130523380387</v>
      </c>
      <c r="AW52" s="229">
        <f>-1*INDEX(Coordenadas!$A$18:$CX$88,MATCH($F$18,Coordenadas!$A$18:$A$88,0)+16,AW49*10+2)</f>
        <v>-0.26172113068425695</v>
      </c>
      <c r="AX52" s="229">
        <f>-1*INDEX(Coordenadas!$A$18:$CX$88,MATCH($F$18,Coordenadas!$A$18:$A$88,0)+16,AX49*10+2)</f>
        <v>-0.2125250965250964</v>
      </c>
      <c r="AY52" s="229">
        <f>-1*INDEX(Coordenadas!$A$18:$CX$88,MATCH($F$18,Coordenadas!$A$18:$A$88,0)+16,AY49*10+2)</f>
        <v>-0.16635049361862111</v>
      </c>
      <c r="AZ52" s="229">
        <f>-1*INDEX(Coordenadas!$A$18:$CX$88,MATCH($F$18,Coordenadas!$A$18:$A$88,0)+16,AZ49*10+2)</f>
        <v>-0.12401396932647005</v>
      </c>
      <c r="BA52" s="229">
        <f>-1*INDEX(Coordenadas!$A$18:$CX$88,MATCH($F$18,Coordenadas!$A$18:$A$88,0)+16,BA49*10+2)</f>
        <v>-0.08637152750965267</v>
      </c>
      <c r="BB52" s="229">
        <f>-1*INDEX(Coordenadas!$A$18:$CX$88,MATCH($F$18,Coordenadas!$A$18:$A$88,0)+16,BB49*10+2)</f>
        <v>-0.054318528528529475</v>
      </c>
      <c r="BC52" s="229">
        <f>-1*INDEX(Coordenadas!$A$18:$CX$88,MATCH($F$18,Coordenadas!$A$18:$A$88,0)+16,BC49*10+2)</f>
        <v>-0.02878968924281421</v>
      </c>
      <c r="BD52" s="229">
        <f>-1*INDEX(Coordenadas!$A$18:$CX$88,MATCH($F$18,Coordenadas!$A$18:$A$88,0)+16,BD49*10+2)</f>
        <v>-0.010759083011583405</v>
      </c>
      <c r="BE52" s="229">
        <f>-1*INDEX(Coordenadas!$A$18:$CX$88,MATCH($F$18,Coordenadas!$A$18:$A$88,0)+16,BE49*10+2)</f>
        <v>-0.0012401396932635637</v>
      </c>
      <c r="BF52" s="229">
        <f>-1*INDEX(Coordenadas!$A$18:$CX$88,MATCH($F$18,Coordenadas!$A$18:$A$88,0)+16,BF49*10+2)</f>
        <v>0</v>
      </c>
      <c r="BG52" s="229">
        <f>-1*INDEX(Coordenadas!$A$18:$CX$88,MATCH($F$18,Coordenadas!$A$18:$A$88,0)+16,BG49*10+2)</f>
        <v>0</v>
      </c>
      <c r="BH52" s="229">
        <f>-1*INDEX(Coordenadas!$A$18:$CX$88,MATCH($F$18,Coordenadas!$A$18:$A$88,0)+16,BH49*10+2)</f>
        <v>0</v>
      </c>
      <c r="BI52" s="229">
        <f>-1*INDEX(Coordenadas!$A$18:$CX$88,MATCH($F$18,Coordenadas!$A$18:$A$88,0)+16,BI49*10+2)</f>
        <v>0</v>
      </c>
      <c r="BJ52" s="229">
        <f>-1*INDEX(Coordenadas!$A$18:$CX$88,MATCH($F$18,Coordenadas!$A$18:$A$88,0)+16,BJ49*10+2)</f>
        <v>0</v>
      </c>
      <c r="BK52" s="229">
        <f>-1*INDEX(Coordenadas!$A$18:$CX$88,MATCH($F$18,Coordenadas!$A$18:$A$88,0)+16,BK49*10+2)</f>
        <v>0</v>
      </c>
      <c r="BL52" s="229">
        <f>-1*INDEX(Coordenadas!$A$18:$CX$88,MATCH($F$18,Coordenadas!$A$18:$A$88,0)+16,BL49*10+2)</f>
        <v>0</v>
      </c>
      <c r="BM52" s="229">
        <f>-1*INDEX(Coordenadas!$A$18:$CX$88,MATCH($F$18,Coordenadas!$A$18:$A$88,0)+16,BM49*10+2)</f>
        <v>0</v>
      </c>
      <c r="BN52" s="229">
        <f>-1*INDEX(Coordenadas!$A$18:$CX$88,MATCH($F$18,Coordenadas!$A$18:$A$88,0)+16,BN49*10+2)</f>
        <v>0</v>
      </c>
      <c r="BO52" s="229">
        <f>-1*INDEX(Coordenadas!$A$18:$CX$88,MATCH($F$18,Coordenadas!$A$18:$A$88,0)+16,BO49*10+2)</f>
        <v>0</v>
      </c>
      <c r="BP52" s="229">
        <f>-1*INDEX(Coordenadas!$A$18:$CX$88,MATCH($F$18,Coordenadas!$A$18:$A$88,0)+16,BP49*10+2)</f>
        <v>0</v>
      </c>
      <c r="BQ52" s="229">
        <f>-1*INDEX(Coordenadas!$A$18:$CX$88,MATCH($F$18,Coordenadas!$A$18:$A$88,0)+16,BQ49*10+2)</f>
        <v>0</v>
      </c>
      <c r="BR52" s="229">
        <f>-1*INDEX(Coordenadas!$A$18:$CX$88,MATCH($F$18,Coordenadas!$A$18:$A$88,0)+16,BR49*10+2)</f>
        <v>0</v>
      </c>
      <c r="BS52" s="229">
        <f>-1*INDEX(Coordenadas!$A$18:$CX$88,MATCH($F$18,Coordenadas!$A$18:$A$88,0)+16,BS49*10+2)</f>
        <v>0</v>
      </c>
      <c r="BT52" s="229">
        <f>-1*INDEX(Coordenadas!$A$18:$CX$88,MATCH($F$18,Coordenadas!$A$18:$A$88,0)+16,BT49*10+2)</f>
        <v>0</v>
      </c>
      <c r="BU52" s="229">
        <f>-1*INDEX(Coordenadas!$A$18:$CX$88,MATCH($F$18,Coordenadas!$A$18:$A$88,0)+16,BU49*10+2)</f>
        <v>0</v>
      </c>
      <c r="BV52" s="229">
        <f>-1*INDEX(Coordenadas!$A$18:$CX$88,MATCH($F$18,Coordenadas!$A$18:$A$88,0)+16,BV49*10+2)</f>
        <v>0</v>
      </c>
      <c r="BW52" s="229">
        <f>-1*INDEX(Coordenadas!$A$18:$CX$88,MATCH($F$18,Coordenadas!$A$18:$A$88,0)+16,BW49*10+2)</f>
        <v>0</v>
      </c>
      <c r="BX52" s="229">
        <f>-1*INDEX(Coordenadas!$A$18:$CX$88,MATCH($F$18,Coordenadas!$A$18:$A$88,0)+16,BX49*10+2)</f>
        <v>0</v>
      </c>
      <c r="BY52" s="229">
        <f>-1*INDEX(Coordenadas!$A$18:$CX$88,MATCH($F$18,Coordenadas!$A$18:$A$88,0)+16,BY49*10+2)</f>
        <v>0</v>
      </c>
      <c r="BZ52" s="229">
        <f>-1*INDEX(Coordenadas!$A$18:$CX$88,MATCH($F$18,Coordenadas!$A$18:$A$88,0)+16,BZ49*10+2)</f>
        <v>0</v>
      </c>
      <c r="CA52" s="229">
        <f>-1*INDEX(Coordenadas!$A$18:$CX$88,MATCH($F$18,Coordenadas!$A$18:$A$88,0)+16,CA49*10+2)</f>
        <v>0</v>
      </c>
      <c r="CB52" s="229">
        <f>-1*INDEX(Coordenadas!$A$18:$CX$88,MATCH($F$18,Coordenadas!$A$18:$A$88,0)+16,CB49*10+2)</f>
        <v>0</v>
      </c>
      <c r="CC52" s="229">
        <f>-1*INDEX(Coordenadas!$A$18:$CX$88,MATCH($F$18,Coordenadas!$A$18:$A$88,0)+16,CC49*10+2)</f>
        <v>0</v>
      </c>
      <c r="CD52" s="229">
        <f>-1*INDEX(Coordenadas!$A$18:$CX$88,MATCH($F$18,Coordenadas!$A$18:$A$88,0)+16,CD49*10+2)</f>
        <v>0</v>
      </c>
      <c r="CE52" s="229">
        <f>-1*INDEX(Coordenadas!$A$18:$CX$88,MATCH($F$18,Coordenadas!$A$18:$A$88,0)+16,CE49*10+2)</f>
        <v>0</v>
      </c>
      <c r="CF52" s="229">
        <f>-1*INDEX(Coordenadas!$A$18:$CX$88,MATCH($F$18,Coordenadas!$A$18:$A$88,0)+16,CF49*10+2)</f>
        <v>0</v>
      </c>
      <c r="CG52" s="229">
        <f>-1*INDEX(Coordenadas!$A$18:$CX$88,MATCH($F$18,Coordenadas!$A$18:$A$88,0)+16,CG49*10+2)</f>
        <v>0</v>
      </c>
      <c r="CH52" s="229">
        <f>-1*INDEX(Coordenadas!$A$18:$CX$88,MATCH($F$18,Coordenadas!$A$18:$A$88,0)+16,CH49*10+2)</f>
        <v>0</v>
      </c>
      <c r="CI52" s="229">
        <f>-1*INDEX(Coordenadas!$A$18:$CX$88,MATCH($F$18,Coordenadas!$A$18:$A$88,0)+16,CI49*10+2)</f>
        <v>0</v>
      </c>
      <c r="CJ52" s="229">
        <f>-1*INDEX(Coordenadas!$A$18:$CX$88,MATCH($F$18,Coordenadas!$A$18:$A$88,0)+16,CJ49*10+2)</f>
        <v>0</v>
      </c>
      <c r="CK52" s="229">
        <f>-1*INDEX(Coordenadas!$A$18:$CX$88,MATCH($F$18,Coordenadas!$A$18:$A$88,0)+16,CK49*10+2)</f>
        <v>0</v>
      </c>
      <c r="CL52" s="229">
        <f>-1*INDEX(Coordenadas!$A$18:$CX$88,MATCH($F$18,Coordenadas!$A$18:$A$88,0)+16,CL49*10+2)</f>
        <v>0</v>
      </c>
      <c r="CM52" s="229">
        <f>-1*INDEX(Coordenadas!$A$18:$CX$88,MATCH($F$18,Coordenadas!$A$18:$A$88,0)+16,CM49*10+2)</f>
        <v>0</v>
      </c>
      <c r="CN52" s="229">
        <f>-1*INDEX(Coordenadas!$A$18:$CX$88,MATCH($F$18,Coordenadas!$A$18:$A$88,0)+16,CN49*10+2)</f>
        <v>0</v>
      </c>
      <c r="CO52" s="229">
        <f>-1*INDEX(Coordenadas!$A$18:$CX$88,MATCH($F$18,Coordenadas!$A$18:$A$88,0)+16,CO49*10+2)</f>
        <v>0</v>
      </c>
      <c r="CP52" s="229">
        <f>-1*INDEX(Coordenadas!$A$18:$CX$88,MATCH($F$18,Coordenadas!$A$18:$A$88,0)+16,CP49*10+2)</f>
        <v>0</v>
      </c>
      <c r="CQ52" s="229">
        <f>-1*INDEX(Coordenadas!$A$18:$CX$88,MATCH($F$18,Coordenadas!$A$18:$A$88,0)+16,CQ49*10+2)</f>
        <v>0</v>
      </c>
      <c r="CR52" s="229">
        <f>-1*INDEX(Coordenadas!$A$18:$CX$88,MATCH($F$18,Coordenadas!$A$18:$A$88,0)+16,CR49*10+2)</f>
        <v>0</v>
      </c>
      <c r="CS52" s="229">
        <f>-1*INDEX(Coordenadas!$A$18:$CX$88,MATCH($F$18,Coordenadas!$A$18:$A$88,0)+16,CS49*10+2)</f>
        <v>0</v>
      </c>
      <c r="CT52" s="229">
        <f>-1*INDEX(Coordenadas!$A$18:$CX$88,MATCH($F$18,Coordenadas!$A$18:$A$88,0)+16,CT49*10+2)</f>
        <v>0</v>
      </c>
      <c r="CU52" s="229">
        <f>-1*INDEX(Coordenadas!$A$18:$CX$88,MATCH($F$18,Coordenadas!$A$18:$A$88,0)+16,CU49*10+2)</f>
        <v>0</v>
      </c>
      <c r="CV52" s="229">
        <f>-1*INDEX(Coordenadas!$A$18:$CX$88,MATCH($F$18,Coordenadas!$A$18:$A$88,0)+16,CV49*10+2)</f>
        <v>0</v>
      </c>
      <c r="CW52" s="229">
        <f>-1*INDEX(Coordenadas!$A$18:$CX$88,MATCH($F$18,Coordenadas!$A$18:$A$88,0)+16,CW49*10+2)</f>
        <v>0</v>
      </c>
    </row>
  </sheetData>
  <sheetProtection selectLockedCells="1"/>
  <mergeCells count="15">
    <mergeCell ref="F18:G18"/>
    <mergeCell ref="B32:G32"/>
    <mergeCell ref="J40:Q41"/>
    <mergeCell ref="J42:Q42"/>
    <mergeCell ref="J44:M44"/>
    <mergeCell ref="B43:C43"/>
    <mergeCell ref="B28:G28"/>
    <mergeCell ref="F33:G33"/>
    <mergeCell ref="F25:G25"/>
    <mergeCell ref="B2:D2"/>
    <mergeCell ref="F2:G2"/>
    <mergeCell ref="F17:G17"/>
    <mergeCell ref="F21:G23"/>
    <mergeCell ref="B33:D33"/>
    <mergeCell ref="B29:C29"/>
  </mergeCells>
  <conditionalFormatting sqref="G9">
    <cfRule type="cellIs" priority="4" dxfId="1" operator="greaterThan" stopIfTrue="1">
      <formula>$G$4</formula>
    </cfRule>
  </conditionalFormatting>
  <conditionalFormatting sqref="G4">
    <cfRule type="cellIs" priority="5" dxfId="1" operator="greaterThan" stopIfTrue="1">
      <formula>10</formula>
    </cfRule>
  </conditionalFormatting>
  <conditionalFormatting sqref="H40:H41 H44:H45">
    <cfRule type="cellIs" priority="3" dxfId="0" operator="greaterThan" stopIfTrue="1">
      <formula>1</formula>
    </cfRule>
  </conditionalFormatting>
  <dataValidations count="14">
    <dataValidation type="list" allowBlank="1" showInputMessage="1" showErrorMessage="1" sqref="C26">
      <formula1>tipo</formula1>
    </dataValidation>
    <dataValidation type="list" allowBlank="1" showInputMessage="1" showErrorMessage="1" sqref="C20">
      <formula1>FORJADO</formula1>
    </dataValidation>
    <dataValidation type="list" allowBlank="1" showInputMessage="1" showErrorMessage="1" sqref="C21">
      <formula1>ACABADOS</formula1>
    </dataValidation>
    <dataValidation type="list" allowBlank="1" showInputMessage="1" showErrorMessage="1" sqref="C22">
      <formula1>SOBRECARGA</formula1>
    </dataValidation>
    <dataValidation type="list" allowBlank="1" showInputMessage="1" showErrorMessage="1" sqref="C23">
      <formula1>NIEVE</formula1>
    </dataValidation>
    <dataValidation type="list" allowBlank="1" showInputMessage="1" showErrorMessage="1" sqref="C24">
      <formula1>VIENTO</formula1>
    </dataValidation>
    <dataValidation type="list" allowBlank="1" showInputMessage="1" showErrorMessage="1" sqref="G20 B30">
      <formula1>PRONTUARIO</formula1>
    </dataValidation>
    <dataValidation type="list" allowBlank="1" showInputMessage="1" showErrorMessage="1" sqref="F18:G18">
      <formula1>VINCULOS</formula1>
    </dataValidation>
    <dataValidation type="list" allowBlank="1" showInputMessage="1" showErrorMessage="1" sqref="G11">
      <formula1>normativa</formula1>
    </dataValidation>
    <dataValidation type="list" allowBlank="1" showInputMessage="1" showErrorMessage="1" sqref="G12">
      <formula1>ACEROS</formula1>
    </dataValidation>
    <dataValidation type="list" allowBlank="1" showInputMessage="1" showErrorMessage="1" sqref="G14">
      <formula1>fabs</formula1>
    </dataValidation>
    <dataValidation type="list" allowBlank="1" showInputMessage="1" showErrorMessage="1" sqref="G15">
      <formula1>frel</formula1>
    </dataValidation>
    <dataValidation type="list" allowBlank="1" showInputMessage="1" showErrorMessage="1" sqref="C30">
      <formula1>IF($B$30="IPE",ipe,IF($B$30="IPN",ipn,IF($B$30="HEB",HEB,IF($B$30="HEA",HEA,IF($B$30="UPN",UPN,IF($B$30="2UPN",DUPN,T))))))</formula1>
    </dataValidation>
    <dataValidation type="list" allowBlank="1" showInputMessage="1" showErrorMessage="1" sqref="G34">
      <formula1>coordenada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8"/>
  <sheetViews>
    <sheetView zoomScale="95" zoomScaleNormal="95" zoomScalePageLayoutView="0" workbookViewId="0" topLeftCell="A1">
      <selection activeCell="B4" sqref="B4:D15"/>
    </sheetView>
  </sheetViews>
  <sheetFormatPr defaultColWidth="11.421875" defaultRowHeight="12.75"/>
  <cols>
    <col min="1" max="1" width="2.57421875" style="0" customWidth="1"/>
    <col min="5" max="5" width="1.1484375" style="0" customWidth="1"/>
  </cols>
  <sheetData>
    <row r="1" ht="7.5" customHeight="1" thickBot="1"/>
    <row r="2" spans="2:7" ht="13.5" thickBot="1">
      <c r="B2" s="284" t="s">
        <v>52</v>
      </c>
      <c r="C2" s="285"/>
      <c r="D2" s="285"/>
      <c r="E2" s="285"/>
      <c r="F2" s="285"/>
      <c r="G2" s="286"/>
    </row>
    <row r="3" spans="2:7" ht="6" customHeight="1" thickBot="1">
      <c r="B3" s="50"/>
      <c r="C3" s="49"/>
      <c r="D3" s="49"/>
      <c r="E3" s="49"/>
      <c r="F3" s="49"/>
      <c r="G3" s="51"/>
    </row>
    <row r="4" spans="2:7" ht="12.75">
      <c r="B4" s="341" t="s">
        <v>342</v>
      </c>
      <c r="C4" s="342"/>
      <c r="D4" s="343"/>
      <c r="E4" s="166"/>
      <c r="F4" s="307" t="s">
        <v>347</v>
      </c>
      <c r="G4" s="309"/>
    </row>
    <row r="5" spans="2:7" ht="12.75">
      <c r="B5" s="344"/>
      <c r="C5" s="345"/>
      <c r="D5" s="346"/>
      <c r="E5" s="166"/>
      <c r="F5" s="310"/>
      <c r="G5" s="312"/>
    </row>
    <row r="6" spans="2:7" ht="13.5" thickBot="1">
      <c r="B6" s="344"/>
      <c r="C6" s="345"/>
      <c r="D6" s="346"/>
      <c r="E6" s="166"/>
      <c r="F6" s="313"/>
      <c r="G6" s="315"/>
    </row>
    <row r="7" spans="2:7" ht="5.25" customHeight="1" thickBot="1">
      <c r="B7" s="344"/>
      <c r="C7" s="345"/>
      <c r="D7" s="346"/>
      <c r="E7" s="166"/>
      <c r="F7" s="166"/>
      <c r="G7" s="167"/>
    </row>
    <row r="8" spans="2:7" ht="12.75">
      <c r="B8" s="344"/>
      <c r="C8" s="345"/>
      <c r="D8" s="346"/>
      <c r="E8" s="166"/>
      <c r="F8" s="307" t="s">
        <v>348</v>
      </c>
      <c r="G8" s="309"/>
    </row>
    <row r="9" spans="1:7" ht="13.5" thickBot="1">
      <c r="A9" s="55"/>
      <c r="B9" s="344"/>
      <c r="C9" s="345"/>
      <c r="D9" s="346"/>
      <c r="E9" s="166"/>
      <c r="F9" s="313"/>
      <c r="G9" s="315"/>
    </row>
    <row r="10" spans="1:7" ht="6" customHeight="1" thickBot="1">
      <c r="A10" s="55"/>
      <c r="B10" s="344"/>
      <c r="C10" s="345"/>
      <c r="D10" s="346"/>
      <c r="E10" s="166"/>
      <c r="F10" s="168"/>
      <c r="G10" s="167"/>
    </row>
    <row r="11" spans="1:7" ht="12.75">
      <c r="A11" s="55"/>
      <c r="B11" s="344"/>
      <c r="C11" s="345"/>
      <c r="D11" s="346"/>
      <c r="E11" s="166"/>
      <c r="F11" s="307" t="s">
        <v>351</v>
      </c>
      <c r="G11" s="309"/>
    </row>
    <row r="12" spans="1:7" ht="13.5" thickBot="1">
      <c r="A12" s="55"/>
      <c r="B12" s="344"/>
      <c r="C12" s="345"/>
      <c r="D12" s="346"/>
      <c r="E12" s="166"/>
      <c r="F12" s="313"/>
      <c r="G12" s="315"/>
    </row>
    <row r="13" spans="1:7" ht="5.25" customHeight="1" thickBot="1">
      <c r="A13" s="55"/>
      <c r="B13" s="344"/>
      <c r="C13" s="345"/>
      <c r="D13" s="346"/>
      <c r="E13" s="166"/>
      <c r="F13" s="166"/>
      <c r="G13" s="167"/>
    </row>
    <row r="14" spans="1:7" ht="12.75">
      <c r="A14" s="55"/>
      <c r="B14" s="344"/>
      <c r="C14" s="345"/>
      <c r="D14" s="346"/>
      <c r="E14" s="166"/>
      <c r="F14" s="307" t="s">
        <v>343</v>
      </c>
      <c r="G14" s="309"/>
    </row>
    <row r="15" spans="2:7" ht="13.5" thickBot="1">
      <c r="B15" s="347"/>
      <c r="C15" s="348"/>
      <c r="D15" s="349"/>
      <c r="E15" s="166"/>
      <c r="F15" s="313"/>
      <c r="G15" s="315"/>
    </row>
    <row r="16" spans="2:7" ht="6" customHeight="1" thickBot="1">
      <c r="B16" s="169"/>
      <c r="C16" s="166"/>
      <c r="D16" s="170"/>
      <c r="E16" s="166"/>
      <c r="F16" s="166"/>
      <c r="G16" s="170"/>
    </row>
    <row r="17" spans="2:7" ht="12.75">
      <c r="B17" s="350" t="s">
        <v>359</v>
      </c>
      <c r="C17" s="351"/>
      <c r="D17" s="352"/>
      <c r="E17" s="166"/>
      <c r="F17" s="307" t="s">
        <v>344</v>
      </c>
      <c r="G17" s="309"/>
    </row>
    <row r="18" spans="2:7" ht="13.5" thickBot="1">
      <c r="B18" s="353"/>
      <c r="C18" s="354"/>
      <c r="D18" s="355"/>
      <c r="E18" s="166"/>
      <c r="F18" s="313"/>
      <c r="G18" s="315"/>
    </row>
    <row r="19" spans="2:7" ht="4.5" customHeight="1" thickBot="1">
      <c r="B19" s="169"/>
      <c r="C19" s="166"/>
      <c r="D19" s="166"/>
      <c r="E19" s="166"/>
      <c r="F19" s="166"/>
      <c r="G19" s="170"/>
    </row>
    <row r="20" spans="2:7" ht="12.75">
      <c r="B20" s="307" t="s">
        <v>349</v>
      </c>
      <c r="C20" s="308"/>
      <c r="D20" s="309"/>
      <c r="E20" s="166"/>
      <c r="F20" s="325" t="s">
        <v>345</v>
      </c>
      <c r="G20" s="326"/>
    </row>
    <row r="21" spans="2:7" ht="12.75" customHeight="1">
      <c r="B21" s="310"/>
      <c r="C21" s="311"/>
      <c r="D21" s="312"/>
      <c r="E21" s="166"/>
      <c r="F21" s="327"/>
      <c r="G21" s="328"/>
    </row>
    <row r="22" spans="2:7" ht="12.75" customHeight="1">
      <c r="B22" s="310"/>
      <c r="C22" s="311"/>
      <c r="D22" s="312"/>
      <c r="E22" s="166"/>
      <c r="F22" s="327"/>
      <c r="G22" s="328"/>
    </row>
    <row r="23" spans="2:7" ht="13.5" customHeight="1" thickBot="1">
      <c r="B23" s="310"/>
      <c r="C23" s="311"/>
      <c r="D23" s="312"/>
      <c r="E23" s="166"/>
      <c r="F23" s="327"/>
      <c r="G23" s="328"/>
    </row>
    <row r="24" spans="2:7" ht="13.5" customHeight="1" thickBot="1">
      <c r="B24" s="310"/>
      <c r="C24" s="311"/>
      <c r="D24" s="312"/>
      <c r="E24" s="166"/>
      <c r="F24" s="339" t="s">
        <v>367</v>
      </c>
      <c r="G24" s="340"/>
    </row>
    <row r="25" spans="2:7" ht="13.5" customHeight="1" thickBot="1">
      <c r="B25" s="310"/>
      <c r="C25" s="311"/>
      <c r="D25" s="312"/>
      <c r="E25" s="166"/>
      <c r="F25" s="331" t="s">
        <v>395</v>
      </c>
      <c r="G25" s="332"/>
    </row>
    <row r="26" spans="2:7" ht="13.5" thickBot="1">
      <c r="B26" s="313"/>
      <c r="C26" s="314"/>
      <c r="D26" s="315"/>
      <c r="E26" s="171"/>
      <c r="F26" s="329" t="s">
        <v>396</v>
      </c>
      <c r="G26" s="330"/>
    </row>
    <row r="27" spans="2:7" ht="5.25" customHeight="1" thickBot="1">
      <c r="B27" s="50"/>
      <c r="C27" s="49"/>
      <c r="D27" s="49"/>
      <c r="E27" s="49"/>
      <c r="F27" s="49"/>
      <c r="G27" s="51"/>
    </row>
    <row r="28" spans="2:7" ht="12.75">
      <c r="B28" s="316" t="s">
        <v>346</v>
      </c>
      <c r="C28" s="317"/>
      <c r="D28" s="317"/>
      <c r="E28" s="317"/>
      <c r="F28" s="317"/>
      <c r="G28" s="318"/>
    </row>
    <row r="29" spans="2:7" ht="12.75">
      <c r="B29" s="319"/>
      <c r="C29" s="320"/>
      <c r="D29" s="320"/>
      <c r="E29" s="320"/>
      <c r="F29" s="320"/>
      <c r="G29" s="321"/>
    </row>
    <row r="30" spans="2:7" ht="13.5" thickBot="1">
      <c r="B30" s="322"/>
      <c r="C30" s="323"/>
      <c r="D30" s="323"/>
      <c r="E30" s="323"/>
      <c r="F30" s="323"/>
      <c r="G30" s="324"/>
    </row>
    <row r="31" spans="2:7" ht="5.25" customHeight="1" thickBot="1">
      <c r="B31" s="50"/>
      <c r="C31" s="49"/>
      <c r="D31" s="49"/>
      <c r="E31" s="49"/>
      <c r="F31" s="49"/>
      <c r="G31" s="51"/>
    </row>
    <row r="32" spans="2:7" ht="12.75">
      <c r="B32" s="316" t="s">
        <v>350</v>
      </c>
      <c r="C32" s="317"/>
      <c r="D32" s="317"/>
      <c r="E32" s="317"/>
      <c r="F32" s="317"/>
      <c r="G32" s="318"/>
    </row>
    <row r="33" spans="2:7" ht="12.75">
      <c r="B33" s="333"/>
      <c r="C33" s="334"/>
      <c r="D33" s="334"/>
      <c r="E33" s="334"/>
      <c r="F33" s="334"/>
      <c r="G33" s="335"/>
    </row>
    <row r="34" spans="2:7" ht="12.75">
      <c r="B34" s="333"/>
      <c r="C34" s="334"/>
      <c r="D34" s="334"/>
      <c r="E34" s="334"/>
      <c r="F34" s="334"/>
      <c r="G34" s="335"/>
    </row>
    <row r="35" spans="2:7" ht="12.75">
      <c r="B35" s="333"/>
      <c r="C35" s="334"/>
      <c r="D35" s="334"/>
      <c r="E35" s="334"/>
      <c r="F35" s="334"/>
      <c r="G35" s="335"/>
    </row>
    <row r="36" spans="2:7" ht="12.75">
      <c r="B36" s="333"/>
      <c r="C36" s="334"/>
      <c r="D36" s="334"/>
      <c r="E36" s="334"/>
      <c r="F36" s="334"/>
      <c r="G36" s="335"/>
    </row>
    <row r="37" spans="2:7" ht="12.75">
      <c r="B37" s="333"/>
      <c r="C37" s="334"/>
      <c r="D37" s="334"/>
      <c r="E37" s="334"/>
      <c r="F37" s="334"/>
      <c r="G37" s="335"/>
    </row>
    <row r="38" spans="2:7" ht="13.5" thickBot="1">
      <c r="B38" s="336"/>
      <c r="C38" s="337"/>
      <c r="D38" s="337"/>
      <c r="E38" s="337"/>
      <c r="F38" s="337"/>
      <c r="G38" s="338"/>
    </row>
  </sheetData>
  <sheetProtection formatCells="0" formatColumns="0" formatRows="0" insertColumns="0" insertRows="0" insertHyperlinks="0" deleteColumns="0" deleteRows="0" sort="0" autoFilter="0" pivotTables="0"/>
  <mergeCells count="15">
    <mergeCell ref="B2:G2"/>
    <mergeCell ref="B4:D15"/>
    <mergeCell ref="B17:D18"/>
    <mergeCell ref="F4:G6"/>
    <mergeCell ref="F8:G9"/>
    <mergeCell ref="F11:G12"/>
    <mergeCell ref="F14:G15"/>
    <mergeCell ref="F17:G18"/>
    <mergeCell ref="B20:D26"/>
    <mergeCell ref="B28:G30"/>
    <mergeCell ref="F20:G23"/>
    <mergeCell ref="F26:G26"/>
    <mergeCell ref="F25:G25"/>
    <mergeCell ref="B32:G38"/>
    <mergeCell ref="F24:G2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K37" sqref="K37"/>
    </sheetView>
  </sheetViews>
  <sheetFormatPr defaultColWidth="11.421875" defaultRowHeight="12.75"/>
  <cols>
    <col min="1" max="1" width="21.28125" style="0" customWidth="1"/>
    <col min="2" max="2" width="13.28125" style="0" customWidth="1"/>
    <col min="4" max="4" width="17.421875" style="0" customWidth="1"/>
    <col min="5" max="5" width="17.00390625" style="0" customWidth="1"/>
    <col min="6" max="6" width="13.7109375" style="0" customWidth="1"/>
    <col min="7" max="7" width="14.00390625" style="0" customWidth="1"/>
    <col min="8" max="8" width="12.57421875" style="0" bestFit="1" customWidth="1"/>
    <col min="13" max="13" width="20.28125" style="0" customWidth="1"/>
    <col min="14" max="14" width="16.421875" style="0" customWidth="1"/>
  </cols>
  <sheetData>
    <row r="2" s="48" customFormat="1" ht="12.75">
      <c r="A2" s="57" t="s">
        <v>43</v>
      </c>
    </row>
    <row r="3" ht="13.5" thickBot="1"/>
    <row r="4" spans="1:8" ht="12.75">
      <c r="A4" s="140" t="s">
        <v>53</v>
      </c>
      <c r="B4" s="54"/>
      <c r="D4" s="140" t="s">
        <v>47</v>
      </c>
      <c r="E4" s="123" t="s">
        <v>75</v>
      </c>
      <c r="F4" s="44" t="s">
        <v>69</v>
      </c>
      <c r="G4" s="44" t="s">
        <v>70</v>
      </c>
      <c r="H4" s="44" t="s">
        <v>71</v>
      </c>
    </row>
    <row r="5" spans="1:8" ht="12.75">
      <c r="A5" s="134" t="s">
        <v>63</v>
      </c>
      <c r="B5" s="253">
        <v>3.25</v>
      </c>
      <c r="D5" s="134" t="s">
        <v>48</v>
      </c>
      <c r="E5" s="51">
        <f aca="true" t="shared" si="0" ref="E5:E11">F5+G5+H5</f>
        <v>2</v>
      </c>
      <c r="F5" s="252">
        <v>1</v>
      </c>
      <c r="G5" s="252">
        <v>1</v>
      </c>
      <c r="H5" s="252"/>
    </row>
    <row r="6" spans="1:8" ht="12.75">
      <c r="A6" s="134" t="s">
        <v>68</v>
      </c>
      <c r="B6" s="253">
        <v>5</v>
      </c>
      <c r="D6" s="134" t="s">
        <v>72</v>
      </c>
      <c r="E6" s="51">
        <f t="shared" si="0"/>
        <v>2.5</v>
      </c>
      <c r="F6" s="252">
        <v>1</v>
      </c>
      <c r="G6" s="252">
        <v>1</v>
      </c>
      <c r="H6" s="252">
        <v>0.5</v>
      </c>
    </row>
    <row r="7" spans="1:8" ht="12.75">
      <c r="A7" s="134" t="s">
        <v>64</v>
      </c>
      <c r="B7" s="253">
        <v>3</v>
      </c>
      <c r="D7" s="134" t="s">
        <v>49</v>
      </c>
      <c r="E7" s="51">
        <f t="shared" si="0"/>
        <v>1.5</v>
      </c>
      <c r="F7" s="252">
        <v>1</v>
      </c>
      <c r="G7" s="252">
        <v>0.5</v>
      </c>
      <c r="H7" s="252"/>
    </row>
    <row r="8" spans="1:8" ht="12.75">
      <c r="A8" s="134" t="s">
        <v>65</v>
      </c>
      <c r="B8" s="253">
        <v>2</v>
      </c>
      <c r="D8" s="134" t="s">
        <v>91</v>
      </c>
      <c r="E8" s="51">
        <f t="shared" si="0"/>
        <v>3</v>
      </c>
      <c r="F8" s="252">
        <v>1</v>
      </c>
      <c r="G8" s="252">
        <v>1.5</v>
      </c>
      <c r="H8" s="252">
        <v>0.5</v>
      </c>
    </row>
    <row r="9" spans="1:8" ht="12.75">
      <c r="A9" s="134" t="s">
        <v>66</v>
      </c>
      <c r="B9" s="253">
        <v>1</v>
      </c>
      <c r="D9" s="134" t="s">
        <v>74</v>
      </c>
      <c r="E9" s="51">
        <f t="shared" si="0"/>
        <v>1.5</v>
      </c>
      <c r="F9" s="252">
        <v>0</v>
      </c>
      <c r="G9" s="252">
        <v>1.5</v>
      </c>
      <c r="H9" s="252">
        <v>0</v>
      </c>
    </row>
    <row r="10" spans="1:8" ht="12.75">
      <c r="A10" s="134" t="s">
        <v>67</v>
      </c>
      <c r="B10" s="253">
        <v>2</v>
      </c>
      <c r="D10" s="134" t="s">
        <v>76</v>
      </c>
      <c r="E10" s="51">
        <f t="shared" si="0"/>
        <v>3</v>
      </c>
      <c r="F10" s="252">
        <v>0</v>
      </c>
      <c r="G10" s="252">
        <v>3</v>
      </c>
      <c r="H10" s="252">
        <v>0</v>
      </c>
    </row>
    <row r="11" spans="1:11" ht="13.5" thickBot="1">
      <c r="A11" s="135" t="s">
        <v>381</v>
      </c>
      <c r="B11" s="254">
        <v>0</v>
      </c>
      <c r="D11" s="135" t="s">
        <v>381</v>
      </c>
      <c r="E11" s="109">
        <f t="shared" si="0"/>
        <v>0</v>
      </c>
      <c r="F11" s="252">
        <v>0</v>
      </c>
      <c r="G11" s="252">
        <v>0</v>
      </c>
      <c r="H11" s="252">
        <v>0</v>
      </c>
      <c r="K11" s="55"/>
    </row>
    <row r="12" spans="1:11" ht="12.75">
      <c r="A12" s="56"/>
      <c r="K12" s="55"/>
    </row>
    <row r="13" spans="1:11" ht="13.5" thickBot="1">
      <c r="A13" s="56"/>
      <c r="K13" s="55"/>
    </row>
    <row r="14" spans="1:11" ht="12.75">
      <c r="A14" s="141" t="s">
        <v>44</v>
      </c>
      <c r="B14" s="54"/>
      <c r="D14" s="141" t="s">
        <v>45</v>
      </c>
      <c r="E14" s="54"/>
      <c r="G14" s="140" t="s">
        <v>46</v>
      </c>
      <c r="H14" s="54"/>
      <c r="K14" s="55"/>
    </row>
    <row r="15" spans="1:11" ht="12.75">
      <c r="A15" s="134" t="s">
        <v>48</v>
      </c>
      <c r="B15" s="253">
        <v>2</v>
      </c>
      <c r="D15" s="136" t="s">
        <v>82</v>
      </c>
      <c r="E15" s="253">
        <v>0</v>
      </c>
      <c r="G15" s="50" t="s">
        <v>86</v>
      </c>
      <c r="H15" s="253">
        <v>0</v>
      </c>
      <c r="K15" s="55"/>
    </row>
    <row r="16" spans="1:11" ht="12.75">
      <c r="A16" s="134" t="s">
        <v>51</v>
      </c>
      <c r="B16" s="253">
        <v>3</v>
      </c>
      <c r="D16" s="136" t="s">
        <v>83</v>
      </c>
      <c r="E16" s="253">
        <v>1</v>
      </c>
      <c r="G16" s="50" t="s">
        <v>85</v>
      </c>
      <c r="H16" s="253">
        <v>1.05</v>
      </c>
      <c r="K16" s="55"/>
    </row>
    <row r="17" spans="1:11" ht="12.75">
      <c r="A17" s="134" t="s">
        <v>72</v>
      </c>
      <c r="B17" s="253">
        <v>4</v>
      </c>
      <c r="D17" s="136" t="s">
        <v>77</v>
      </c>
      <c r="E17" s="253">
        <v>0.66</v>
      </c>
      <c r="G17" s="50" t="s">
        <v>79</v>
      </c>
      <c r="H17" s="253">
        <v>0.91</v>
      </c>
      <c r="K17" s="55"/>
    </row>
    <row r="18" spans="1:11" ht="12.75">
      <c r="A18" s="134" t="s">
        <v>49</v>
      </c>
      <c r="B18" s="253">
        <v>4</v>
      </c>
      <c r="D18" s="136" t="s">
        <v>78</v>
      </c>
      <c r="E18" s="253">
        <v>0.55</v>
      </c>
      <c r="G18" s="50" t="s">
        <v>80</v>
      </c>
      <c r="H18" s="253">
        <v>0.75</v>
      </c>
      <c r="K18" s="55"/>
    </row>
    <row r="19" spans="1:11" ht="13.5" thickBot="1">
      <c r="A19" s="134" t="s">
        <v>73</v>
      </c>
      <c r="B19" s="253">
        <v>5</v>
      </c>
      <c r="D19" s="136" t="s">
        <v>84</v>
      </c>
      <c r="E19" s="253">
        <v>0.68</v>
      </c>
      <c r="G19" s="108" t="s">
        <v>81</v>
      </c>
      <c r="H19" s="254">
        <v>0.55</v>
      </c>
      <c r="K19" s="55"/>
    </row>
    <row r="20" spans="1:11" ht="12.75">
      <c r="A20" s="134" t="s">
        <v>74</v>
      </c>
      <c r="B20" s="253">
        <v>1</v>
      </c>
      <c r="D20" s="136" t="s">
        <v>50</v>
      </c>
      <c r="E20" s="253">
        <v>0</v>
      </c>
      <c r="K20" s="55"/>
    </row>
    <row r="21" spans="1:5" ht="13.5" thickBot="1">
      <c r="A21" s="134" t="s">
        <v>76</v>
      </c>
      <c r="B21" s="253">
        <v>1</v>
      </c>
      <c r="D21" s="137" t="s">
        <v>50</v>
      </c>
      <c r="E21" s="254">
        <v>0</v>
      </c>
    </row>
    <row r="22" spans="1:2" ht="13.5" thickBot="1">
      <c r="A22" s="135" t="s">
        <v>382</v>
      </c>
      <c r="B22" s="254">
        <v>0</v>
      </c>
    </row>
    <row r="24" s="48" customFormat="1" ht="12.75">
      <c r="A24" s="57" t="s">
        <v>306</v>
      </c>
    </row>
    <row r="25" ht="13.5" thickBot="1"/>
    <row r="26" spans="1:10" ht="12.75">
      <c r="A26" s="140" t="s">
        <v>54</v>
      </c>
      <c r="B26" s="138" t="s">
        <v>93</v>
      </c>
      <c r="C26" s="89" t="s">
        <v>94</v>
      </c>
      <c r="E26" s="140" t="s">
        <v>95</v>
      </c>
      <c r="F26" s="138" t="s">
        <v>100</v>
      </c>
      <c r="G26" s="89" t="s">
        <v>101</v>
      </c>
      <c r="I26" s="140" t="s">
        <v>102</v>
      </c>
      <c r="J26" s="152" t="s">
        <v>103</v>
      </c>
    </row>
    <row r="27" spans="1:11" ht="12.75">
      <c r="A27" s="50"/>
      <c r="B27" s="49"/>
      <c r="C27" s="51"/>
      <c r="E27" s="50" t="s">
        <v>96</v>
      </c>
      <c r="F27" s="257">
        <v>235</v>
      </c>
      <c r="G27" s="255">
        <v>360</v>
      </c>
      <c r="I27" s="136">
        <v>0.5</v>
      </c>
      <c r="J27" s="253" t="s">
        <v>104</v>
      </c>
      <c r="K27" s="252">
        <v>500</v>
      </c>
    </row>
    <row r="28" spans="1:11" ht="12.75">
      <c r="A28" s="50" t="s">
        <v>107</v>
      </c>
      <c r="B28" s="259">
        <v>1.35</v>
      </c>
      <c r="C28" s="253">
        <v>1.5</v>
      </c>
      <c r="E28" s="50" t="s">
        <v>97</v>
      </c>
      <c r="F28" s="257">
        <v>275</v>
      </c>
      <c r="G28" s="255">
        <v>410</v>
      </c>
      <c r="I28" s="136">
        <v>1</v>
      </c>
      <c r="J28" s="253" t="s">
        <v>105</v>
      </c>
      <c r="K28" s="252">
        <v>400</v>
      </c>
    </row>
    <row r="29" spans="1:11" ht="12.75">
      <c r="A29" s="50" t="s">
        <v>108</v>
      </c>
      <c r="B29" s="259">
        <v>1.5</v>
      </c>
      <c r="C29" s="253">
        <v>1.6</v>
      </c>
      <c r="E29" s="50" t="s">
        <v>98</v>
      </c>
      <c r="F29" s="257">
        <v>335</v>
      </c>
      <c r="G29" s="255">
        <v>470</v>
      </c>
      <c r="I29" s="136">
        <v>1.5</v>
      </c>
      <c r="J29" s="253" t="s">
        <v>106</v>
      </c>
      <c r="K29" s="252">
        <v>300</v>
      </c>
    </row>
    <row r="30" spans="1:10" ht="13.5" thickBot="1">
      <c r="A30" s="50" t="s">
        <v>109</v>
      </c>
      <c r="B30" s="259">
        <v>0.75</v>
      </c>
      <c r="C30" s="253">
        <v>1</v>
      </c>
      <c r="E30" s="108" t="s">
        <v>99</v>
      </c>
      <c r="F30" s="258">
        <v>450</v>
      </c>
      <c r="G30" s="256">
        <v>550</v>
      </c>
      <c r="I30" s="137">
        <v>2</v>
      </c>
      <c r="J30" s="254"/>
    </row>
    <row r="31" spans="1:7" ht="13.5" thickBot="1">
      <c r="A31" s="108" t="s">
        <v>110</v>
      </c>
      <c r="B31" s="260">
        <v>0.9</v>
      </c>
      <c r="C31" s="254">
        <v>1</v>
      </c>
      <c r="G31" s="252"/>
    </row>
    <row r="32" spans="1:3" ht="13.5" thickBot="1">
      <c r="A32" s="49"/>
      <c r="B32" s="49"/>
      <c r="C32" s="49"/>
    </row>
    <row r="33" spans="1:3" ht="13.5" thickBot="1">
      <c r="A33" s="86" t="s">
        <v>111</v>
      </c>
      <c r="B33" s="262">
        <v>1.15</v>
      </c>
      <c r="C33" s="261">
        <v>1.15</v>
      </c>
    </row>
  </sheetData>
  <sheetProtection selectLockedCells="1"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76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24.140625" style="49" customWidth="1"/>
    <col min="2" max="2" width="22.421875" style="49" customWidth="1"/>
    <col min="3" max="3" width="11.421875" style="49" customWidth="1"/>
    <col min="4" max="4" width="18.140625" style="49" customWidth="1"/>
    <col min="5" max="5" width="15.57421875" style="49" customWidth="1"/>
    <col min="6" max="7" width="11.421875" style="49" customWidth="1"/>
    <col min="8" max="8" width="17.28125" style="49" customWidth="1"/>
    <col min="9" max="9" width="11.421875" style="49" customWidth="1"/>
    <col min="10" max="10" width="12.28125" style="49" bestFit="1" customWidth="1"/>
    <col min="11" max="11" width="12.140625" style="49" customWidth="1"/>
    <col min="12" max="12" width="11.421875" style="49" customWidth="1"/>
    <col min="13" max="13" width="11.7109375" style="49" customWidth="1"/>
    <col min="14" max="14" width="22.8515625" style="49" customWidth="1"/>
    <col min="15" max="15" width="13.140625" style="49" customWidth="1"/>
    <col min="16" max="16" width="11.421875" style="49" customWidth="1"/>
    <col min="17" max="17" width="12.28125" style="49" bestFit="1" customWidth="1"/>
    <col min="18" max="16384" width="11.421875" style="49" customWidth="1"/>
  </cols>
  <sheetData>
    <row r="2" s="48" customFormat="1" ht="12.75">
      <c r="A2" s="57" t="s">
        <v>305</v>
      </c>
    </row>
    <row r="3" ht="12.75">
      <c r="I3" s="221" t="s">
        <v>392</v>
      </c>
    </row>
    <row r="4" spans="2:9" ht="12.75">
      <c r="B4" s="46" t="s">
        <v>156</v>
      </c>
      <c r="C4" s="46" t="s">
        <v>157</v>
      </c>
      <c r="I4" s="221" t="s">
        <v>393</v>
      </c>
    </row>
    <row r="5" spans="1:3" ht="13.5" thickBot="1">
      <c r="A5" t="s">
        <v>158</v>
      </c>
      <c r="B5" s="78">
        <f>Calculo!F40</f>
        <v>102.9557811221591</v>
      </c>
      <c r="C5" s="91">
        <f>Calculo!O54</f>
        <v>899.4953097446984</v>
      </c>
    </row>
    <row r="6" spans="9:13" ht="13.5" thickBot="1">
      <c r="I6" s="86" t="s">
        <v>304</v>
      </c>
      <c r="J6" s="139"/>
      <c r="K6" s="87"/>
      <c r="L6" s="75"/>
      <c r="M6" s="76"/>
    </row>
    <row r="7" spans="1:13" ht="12.75">
      <c r="A7" t="s">
        <v>88</v>
      </c>
      <c r="D7" s="45" t="s">
        <v>160</v>
      </c>
      <c r="E7" s="45" t="s">
        <v>159</v>
      </c>
      <c r="F7" s="46" t="s">
        <v>170</v>
      </c>
      <c r="G7" s="97" t="s">
        <v>161</v>
      </c>
      <c r="H7" s="230" t="s">
        <v>390</v>
      </c>
      <c r="I7" s="14" t="s">
        <v>156</v>
      </c>
      <c r="J7" s="232" t="s">
        <v>157</v>
      </c>
      <c r="K7" s="21" t="s">
        <v>394</v>
      </c>
      <c r="L7" s="76"/>
      <c r="M7" s="45" t="s">
        <v>60</v>
      </c>
    </row>
    <row r="8" spans="1:13" ht="12.75">
      <c r="A8" s="45" t="s">
        <v>0</v>
      </c>
      <c r="B8" s="92">
        <f>IF(B5&lt;=Prontuario!K4,Prontuario!K4,INDEX(Prontuario!K4:K29,MATCH($B$5,Prontuario!K4:K29)+(LOOKUP($B$5,Prontuario!K4:K29)&lt;&gt;$B$5)))</f>
        <v>109</v>
      </c>
      <c r="C8" s="96">
        <f>IF(C5&lt;=Prontuario!J4,Prontuario!J4,INDEX(Prontuario!J4:J29,MATCH($C$5,Prontuario!J4:J29)+(LOOKUP($C$5,Prontuario!J4:J29)&lt;&gt;$C$5)))</f>
        <v>1320</v>
      </c>
      <c r="D8" s="45">
        <f>INDEX(Prontuario!$A$4:$X$29,MATCH($B$8,Prontuario!$K$4:$K$29,0),1)</f>
        <v>160</v>
      </c>
      <c r="E8" s="101">
        <f>INDEX(Prontuario!$A$4:$X$29,MATCH($C$8,Prontuario!$J$4:$J$29,0),1)</f>
        <v>180</v>
      </c>
      <c r="F8" s="45">
        <f aca="true" t="shared" si="0" ref="F8:F13">MAX(D8:E8)</f>
        <v>180</v>
      </c>
      <c r="G8" s="98" t="str">
        <f>VLOOKUP(F8,Prontuario!A4:X29,24,FALSE)</f>
        <v>IPE 180</v>
      </c>
      <c r="H8" s="215">
        <f>INDEX(Prontuario!$I$2:$I$164,MATCH(G8,Prontuario!$X$2:$X$164,0),1)</f>
        <v>18.8</v>
      </c>
      <c r="I8" s="79">
        <f>Coordenadas!B14</f>
        <v>116</v>
      </c>
      <c r="J8" s="45">
        <f>Coordenadas!B12</f>
        <v>925</v>
      </c>
      <c r="K8" s="231">
        <f>VLOOKUP(Programa!G20,A8:H14,8,FALSE)</f>
        <v>0</v>
      </c>
      <c r="L8" s="76"/>
      <c r="M8" s="106">
        <f>2-(I8/B5)</f>
        <v>0.873302705922228</v>
      </c>
    </row>
    <row r="9" spans="1:11" ht="13.5" thickBot="1">
      <c r="A9" s="45" t="s">
        <v>32</v>
      </c>
      <c r="B9" s="92">
        <f>IF(B5&lt;=Prontuario!K35,Prontuario!K35,INDEX(Prontuario!K35:K55,MATCH($B$5,Prontuario!K35:K55)+(LOOKUP($B$5,Prontuario!K35:K55)&lt;&gt;$B$5)))</f>
        <v>117</v>
      </c>
      <c r="C9" s="91">
        <f>IF(C5&lt;=Prontuario!J35,Prontuario!J35,INDEX(Prontuario!J35:J55,MATCH($C$5,Prontuario!J35:J55)+(LOOKUP($C$5,Prontuario!J35:J55)&lt;&gt;$C$5)))</f>
        <v>935</v>
      </c>
      <c r="D9" s="45">
        <f>INDEX(Prontuario!$A$35:$X$55,MATCH($B$9,Prontuario!$K$35:$K$55,0),1)</f>
        <v>160</v>
      </c>
      <c r="E9" s="101">
        <f>INDEX(Prontuario!$A$35:$X$55,MATCH($C$9,Prontuario!$J$35:$J$55,0),1)</f>
        <v>160</v>
      </c>
      <c r="F9" s="45">
        <f t="shared" si="0"/>
        <v>160</v>
      </c>
      <c r="G9" s="98" t="str">
        <f>VLOOKUP(F9,Prontuario!A35:X55,24,FALSE)</f>
        <v>IPN 160</v>
      </c>
      <c r="H9" s="215">
        <f>INDEX(Prontuario!$I$2:$I$164,MATCH(G9,Prontuario!$X$2:$X$164,0),1)</f>
        <v>17.9</v>
      </c>
      <c r="I9" s="189">
        <f>VLOOKUP(Programa!$G$20,$A$8:$E$14,4,FALSE)</f>
        <v>160</v>
      </c>
      <c r="J9" s="45">
        <f>VLOOKUP(Programa!$G$20,$A$8:$E$14,5,FALSE)</f>
        <v>160</v>
      </c>
      <c r="K9" s="51"/>
    </row>
    <row r="10" spans="1:11" ht="13.5" thickBot="1">
      <c r="A10" s="45" t="s">
        <v>38</v>
      </c>
      <c r="B10" s="92">
        <f>IF(B5&lt;=Prontuario!K61,Prontuario!K61,INDEX(Prontuario!K61:K87,MATCH($B$5,Prontuario!K61:K87)+(LOOKUP($B$5,Prontuario!K61:K87)&lt;&gt;$B$5)))</f>
        <v>144</v>
      </c>
      <c r="C10" s="91">
        <f>IF(C5&lt;=Prontuario!J61,Prontuario!J61,INDEX(Prontuario!J61:J87,MATCH($C$5,Prontuario!J61:J87)+(LOOKUP($C$5,Prontuario!J61:J87)&lt;&gt;$C$5)))</f>
        <v>1510</v>
      </c>
      <c r="D10" s="45">
        <f>INDEX(Prontuario!$A$61:$X$87,MATCH($B$10,Prontuario!$K$61:$K$87,0),1)</f>
        <v>120</v>
      </c>
      <c r="E10" s="101">
        <f>INDEX(Prontuario!$A$61:$X$87,MATCH($C$10,Prontuario!$J$61:$J$87,0),1)</f>
        <v>140</v>
      </c>
      <c r="F10" s="45">
        <f t="shared" si="0"/>
        <v>140</v>
      </c>
      <c r="G10" s="98" t="str">
        <f>VLOOKUP(F10,Prontuario!A61:X87,24,FALSE)</f>
        <v>HEB 140</v>
      </c>
      <c r="H10" s="215">
        <f>INDEX(Prontuario!$I$2:$I$164,MATCH(G10,Prontuario!$X$2:$X$164,0),1)</f>
        <v>33.7</v>
      </c>
      <c r="I10" s="82" t="str">
        <f>Programa!F21</f>
        <v>UPN 160</v>
      </c>
      <c r="J10" s="52"/>
      <c r="K10" s="109"/>
    </row>
    <row r="11" spans="1:8" ht="12.75">
      <c r="A11" s="45" t="s">
        <v>40</v>
      </c>
      <c r="B11" s="92">
        <f>IF($B$5&lt;=Prontuario!K93,Prontuario!K93,INDEX(Prontuario!K93:K119,MATCH($B$5,Prontuario!K93:K119)+(LOOKUP($B$5,Prontuario!K93:K119)&lt;&gt;$B$5)))</f>
        <v>106</v>
      </c>
      <c r="C11" s="91">
        <f>IF($C$5&lt;=Prontuario!J93,Prontuario!J93,INDEX(Prontuario!J93:J119,MATCH($C$5,Prontuario!J93:J119)+(LOOKUP($C$5,Prontuario!J93:J119)&lt;&gt;$C$5)))</f>
        <v>1030</v>
      </c>
      <c r="D11" s="45">
        <f>INDEX(Prontuario!A93:X119,MATCH($B$11,Prontuario!$K$93:$K$119,0),1)</f>
        <v>120</v>
      </c>
      <c r="E11" s="101">
        <f>INDEX(Prontuario!$A$93:$X$119,MATCH($C$11,Prontuario!$J$93:$J$119,0),1)</f>
        <v>140</v>
      </c>
      <c r="F11" s="45">
        <f t="shared" si="0"/>
        <v>140</v>
      </c>
      <c r="G11" s="98" t="str">
        <f>VLOOKUP(F11,Prontuario!$A$93:$X$119,24,FALSE)</f>
        <v>HEA 140</v>
      </c>
      <c r="H11" s="215">
        <f>INDEX(Prontuario!$I$2:$I$164,MATCH(G11,Prontuario!$X$2:$X$164,0),1)</f>
        <v>24.7</v>
      </c>
    </row>
    <row r="12" spans="1:13" ht="12.75">
      <c r="A12" s="45" t="s">
        <v>41</v>
      </c>
      <c r="B12" s="92">
        <f>IF($B$5&lt;=Prontuario!K125,Prontuario!K125,INDEX(Prontuario!K125:K136,MATCH($B$5,Prontuario!K125:K136)+(LOOKUP($B$5,Prontuario!K125:K136)&lt;&gt;$B$5)))</f>
        <v>116</v>
      </c>
      <c r="C12" s="91">
        <f>IF($C$5&lt;=Prontuario!J125,Prontuario!J125,INDEX(Prontuario!J125:J136,MATCH($C$5,Prontuario!J125:J136)+(LOOKUP($C$5,Prontuario!J125:J136)&lt;&gt;$C$5)))</f>
        <v>925</v>
      </c>
      <c r="D12" s="45">
        <f>INDEX(Prontuario!A125:X136,MATCH($B$12,Prontuario!$K$125:$K$136,0),1)</f>
        <v>160</v>
      </c>
      <c r="E12" s="101">
        <f>INDEX(Prontuario!$A$125:$X$136,MATCH($C$12,Prontuario!$J$125:$J$136,0),1)</f>
        <v>160</v>
      </c>
      <c r="F12" s="45">
        <f t="shared" si="0"/>
        <v>160</v>
      </c>
      <c r="G12" s="98" t="str">
        <f>VLOOKUP(F12,Prontuario!A125:X136,24,FALSE)</f>
        <v>UPN 160</v>
      </c>
      <c r="H12" s="215">
        <f>INDEX(Prontuario!$I$2:$I$164,MATCH(G12,Prontuario!$X$2:$X$164,0),1)</f>
        <v>0</v>
      </c>
      <c r="I12" s="47" t="s">
        <v>307</v>
      </c>
      <c r="J12" s="75"/>
      <c r="K12" s="75"/>
      <c r="L12" s="75"/>
      <c r="M12" s="76"/>
    </row>
    <row r="13" spans="1:13" ht="12.75">
      <c r="A13" s="45" t="s">
        <v>89</v>
      </c>
      <c r="B13" s="92">
        <f>IF($B$5&lt;=Prontuario!K142,Prontuario!K142,INDEX(Prontuario!K142:K153,MATCH($B$5,Prontuario!K142:K153)+(LOOKUP($B$5,Prontuario!K142:K153)&lt;&gt;$B$5)))</f>
        <v>121</v>
      </c>
      <c r="C13" s="91">
        <f>IF($C$5&lt;=Prontuario!J142,Prontuario!J142,INDEX(Prontuario!J142:J153,MATCH($C$5,Prontuario!J142:J153)+(LOOKUP($C$5,Prontuario!J142:J153)&lt;&gt;$C$5)))</f>
        <v>1210</v>
      </c>
      <c r="D13" s="45">
        <f>INDEX(Prontuario!A142:X153,MATCH($B$13,Prontuario!$K$142:$K$153,0),1)</f>
        <v>120</v>
      </c>
      <c r="E13" s="101">
        <f>INDEX(Prontuario!$A$142:$X$153,MATCH($C$13,Prontuario!$J$142:$J$153,0),1)</f>
        <v>140</v>
      </c>
      <c r="F13" s="45">
        <f t="shared" si="0"/>
        <v>140</v>
      </c>
      <c r="G13" s="98" t="str">
        <f>VLOOKUP(F13,Prontuario!A142:X153,24,FALSE)</f>
        <v>2UPN 140</v>
      </c>
      <c r="H13" s="215">
        <f>INDEX(Prontuario!$I$2:$I$164,MATCH(G13,Prontuario!$X$2:$X$164,0),1)</f>
        <v>0</v>
      </c>
      <c r="I13" s="142" t="e">
        <f>D14</f>
        <v>#REF!</v>
      </c>
      <c r="J13" s="143" t="e">
        <f>B14</f>
        <v>#REF!</v>
      </c>
      <c r="K13" s="144" t="e">
        <f>I13</f>
        <v>#REF!</v>
      </c>
      <c r="L13" s="144"/>
      <c r="M13" s="145" t="e">
        <f>MAX(J13:J14)</f>
        <v>#REF!</v>
      </c>
    </row>
    <row r="14" spans="1:13" ht="12.75">
      <c r="A14" s="45" t="s">
        <v>90</v>
      </c>
      <c r="B14" s="92" t="e">
        <f>IF($B$5&lt;=Prontuario!K159,Prontuario!K159,INDEX(Prontuario!K159:K164,MATCH($B$5,Prontuario!K159:K164)+(LOOKUP($B$5,Prontuario!K159:K164)&lt;&gt;$B$5)))</f>
        <v>#REF!</v>
      </c>
      <c r="C14" s="91" t="e">
        <f>IF($C$5&lt;=Prontuario!J159,Prontuario!J164,INDEX(Prontuario!J159:J164,MATCH($C$5,Prontuario!J159:J164)+(LOOKUP($C$5,Prontuario!J159:J164)&lt;&gt;$C$5)))</f>
        <v>#REF!</v>
      </c>
      <c r="D14" s="101" t="e">
        <f>INDEX(Prontuario!A159:X164,MATCH($B$14,Prontuario!$K$159:$K$164,0),1)</f>
        <v>#REF!</v>
      </c>
      <c r="E14" s="101" t="e">
        <f>INDEX(Prontuario!$A$159:$X$164,MATCH($C$14,Prontuario!$J$159:$J$164,0),1)</f>
        <v>#REF!</v>
      </c>
      <c r="F14" s="101" t="e">
        <f>VLOOKUP(M13,J13:K14,2)</f>
        <v>#REF!</v>
      </c>
      <c r="G14" s="98" t="e">
        <f>VLOOKUP(F14,Prontuario!A159:X164,24,FALSE)</f>
        <v>#REF!</v>
      </c>
      <c r="H14" s="215" t="e">
        <f>INDEX(Prontuario!$I$2:$I$164,MATCH(G14,Prontuario!$X$2:$X$164,0),1)</f>
        <v>#REF!</v>
      </c>
      <c r="I14" s="146" t="e">
        <f>E14</f>
        <v>#REF!</v>
      </c>
      <c r="J14" s="147" t="e">
        <f>INDEX(Prontuario!A159:X164,MATCH($I$14,Prontuario!$A$159:$A$164,0),11)</f>
        <v>#REF!</v>
      </c>
      <c r="K14" s="148" t="e">
        <f>E14</f>
        <v>#REF!</v>
      </c>
      <c r="L14" s="148"/>
      <c r="M14" s="149"/>
    </row>
    <row r="15" ht="12.75"/>
    <row r="16" s="60" customFormat="1" ht="12.75">
      <c r="A16" s="57" t="s">
        <v>141</v>
      </c>
    </row>
    <row r="17" ht="13.5" thickBot="1"/>
    <row r="18" ht="13.5" thickBot="1">
      <c r="A18" s="153" t="s">
        <v>112</v>
      </c>
    </row>
    <row r="19" ht="13.5" thickBot="1"/>
    <row r="20" spans="1:11" ht="12.75">
      <c r="A20" s="53" t="s">
        <v>308</v>
      </c>
      <c r="B20" s="110">
        <f>Programa!D25</f>
        <v>5.66</v>
      </c>
      <c r="C20" s="5"/>
      <c r="D20" s="53" t="s">
        <v>120</v>
      </c>
      <c r="E20" s="123" t="str">
        <f>Programa!G11</f>
        <v>CTE-SE</v>
      </c>
      <c r="F20" s="5"/>
      <c r="G20" s="53" t="s">
        <v>129</v>
      </c>
      <c r="H20" s="119">
        <f>B22</f>
        <v>5.55</v>
      </c>
      <c r="I20" s="5"/>
      <c r="J20" s="53"/>
      <c r="K20" s="54"/>
    </row>
    <row r="21" spans="1:11" ht="12.75">
      <c r="A21" s="50" t="s">
        <v>114</v>
      </c>
      <c r="B21" s="111">
        <f>(Programa!G5+Programa!G6)/2</f>
        <v>1.25</v>
      </c>
      <c r="C21" s="49"/>
      <c r="D21" s="50" t="s">
        <v>121</v>
      </c>
      <c r="E21" s="51">
        <f>HLOOKUP($E$20,Datos!$B$26:$C$31,3,FALSE)</f>
        <v>1.35</v>
      </c>
      <c r="F21" s="49"/>
      <c r="G21" s="50" t="s">
        <v>312</v>
      </c>
      <c r="H21" s="118">
        <f>E29</f>
        <v>9.591375000000001</v>
      </c>
      <c r="J21" s="50"/>
      <c r="K21" s="51"/>
    </row>
    <row r="22" spans="1:11" ht="12.75">
      <c r="A22" s="50" t="s">
        <v>115</v>
      </c>
      <c r="B22" s="111">
        <f>Programa!G4</f>
        <v>5.55</v>
      </c>
      <c r="C22" s="49"/>
      <c r="D22" s="50" t="s">
        <v>122</v>
      </c>
      <c r="E22" s="51">
        <f>HLOOKUP($E$20,Datos!$B$26:$C$31,4,FALSE)</f>
        <v>1.5</v>
      </c>
      <c r="F22" s="49"/>
      <c r="G22" s="50" t="s">
        <v>313</v>
      </c>
      <c r="H22" s="120">
        <f>B25*E21</f>
        <v>0</v>
      </c>
      <c r="J22" s="50"/>
      <c r="K22" s="51"/>
    </row>
    <row r="23" spans="1:12" ht="12.75">
      <c r="A23" s="50" t="s">
        <v>113</v>
      </c>
      <c r="B23" s="112">
        <f>B20*B21+Programa!D26</f>
        <v>7.6450000000000005</v>
      </c>
      <c r="C23" s="49"/>
      <c r="D23" s="50" t="s">
        <v>124</v>
      </c>
      <c r="E23" s="51">
        <f>HLOOKUP($E$20,Datos!$B$26:$C$31,5,FALSE)</f>
        <v>0.75</v>
      </c>
      <c r="F23" s="49"/>
      <c r="G23" s="50" t="s">
        <v>8</v>
      </c>
      <c r="H23" s="107">
        <f>B26</f>
        <v>0</v>
      </c>
      <c r="I23" s="49"/>
      <c r="J23" s="50" t="s">
        <v>155</v>
      </c>
      <c r="K23" s="107">
        <f>H20-H23</f>
        <v>5.55</v>
      </c>
      <c r="L23" s="150"/>
    </row>
    <row r="24" spans="1:11" ht="12.75">
      <c r="A24" s="50"/>
      <c r="B24" s="113"/>
      <c r="D24" s="50" t="s">
        <v>123</v>
      </c>
      <c r="E24" s="51">
        <f>HLOOKUP($E$20,Datos!$B$26:$C$31,6,FALSE)</f>
        <v>0.9</v>
      </c>
      <c r="G24" s="50"/>
      <c r="H24" s="51"/>
      <c r="J24" s="50"/>
      <c r="K24" s="51"/>
    </row>
    <row r="25" spans="1:11" ht="12.75">
      <c r="A25" s="50" t="s">
        <v>62</v>
      </c>
      <c r="B25" s="114">
        <f>Programa!G8</f>
        <v>0</v>
      </c>
      <c r="C25" s="49"/>
      <c r="D25" s="50" t="s">
        <v>125</v>
      </c>
      <c r="E25" s="51">
        <f>HLOOKUP($E$20,Datos!$B$26:$C$33,8,FALSE)</f>
        <v>1.15</v>
      </c>
      <c r="G25" s="50"/>
      <c r="H25" s="121"/>
      <c r="J25" s="50"/>
      <c r="K25" s="51"/>
    </row>
    <row r="26" spans="1:11" ht="12.75">
      <c r="A26" s="50" t="s">
        <v>116</v>
      </c>
      <c r="B26" s="111">
        <f>Programa!G9</f>
        <v>0</v>
      </c>
      <c r="C26" s="49"/>
      <c r="D26" s="50" t="s">
        <v>391</v>
      </c>
      <c r="E26" s="51">
        <f>K8/100</f>
        <v>0</v>
      </c>
      <c r="F26" s="49"/>
      <c r="G26" s="50" t="s">
        <v>42</v>
      </c>
      <c r="H26" s="122">
        <v>210000</v>
      </c>
      <c r="J26" s="50"/>
      <c r="K26" s="51"/>
    </row>
    <row r="27" spans="1:11" ht="12.75">
      <c r="A27" s="50"/>
      <c r="B27" s="113"/>
      <c r="D27" s="50"/>
      <c r="E27" s="51"/>
      <c r="G27" s="50"/>
      <c r="H27" s="51"/>
      <c r="J27" s="50"/>
      <c r="K27" s="51"/>
    </row>
    <row r="28" spans="1:11" ht="12.75">
      <c r="A28" s="50" t="s">
        <v>117</v>
      </c>
      <c r="B28" s="115">
        <f>VLOOKUP(Programa!G12,Datos!E27:F30,2,FALSE)</f>
        <v>275</v>
      </c>
      <c r="C28" s="49"/>
      <c r="D28" s="50" t="s">
        <v>126</v>
      </c>
      <c r="E28" s="117">
        <f>E21*(Programa!D20+Programa!D21)+Calculo!E22*Programa!D22+Calculo!E23*Programa!D23+Calculo!E24*Programa!D24</f>
        <v>7.0575</v>
      </c>
      <c r="F28" s="49"/>
      <c r="G28" s="50" t="s">
        <v>326</v>
      </c>
      <c r="H28" s="159">
        <f>J40</f>
        <v>1</v>
      </c>
      <c r="J28" s="50"/>
      <c r="K28" s="51"/>
    </row>
    <row r="29" spans="1:11" ht="12.75">
      <c r="A29" s="50"/>
      <c r="B29" s="113"/>
      <c r="D29" s="50" t="s">
        <v>128</v>
      </c>
      <c r="E29" s="118">
        <f>E28*B21+E30</f>
        <v>9.591375000000001</v>
      </c>
      <c r="G29" s="50"/>
      <c r="H29" s="51"/>
      <c r="J29" s="50"/>
      <c r="K29" s="51"/>
    </row>
    <row r="30" spans="1:11" ht="12.75">
      <c r="A30" s="50" t="s">
        <v>119</v>
      </c>
      <c r="B30" s="113" t="str">
        <f>Programa!F18</f>
        <v>Empotrado-Empotrado</v>
      </c>
      <c r="C30" s="49"/>
      <c r="D30" s="50" t="s">
        <v>397</v>
      </c>
      <c r="E30" s="51">
        <f>IF(Programa!C26="C Variable",Programa!D26*Calculo!E22,Programa!D26*Calculo!E21)</f>
        <v>0.7695</v>
      </c>
      <c r="G30" s="50"/>
      <c r="H30" s="51"/>
      <c r="J30" s="50"/>
      <c r="K30" s="51"/>
    </row>
    <row r="31" spans="1:11" ht="13.5" thickBot="1">
      <c r="A31" s="108" t="s">
        <v>118</v>
      </c>
      <c r="B31" s="116">
        <f>Programa!G18</f>
        <v>0</v>
      </c>
      <c r="C31" s="52"/>
      <c r="D31" s="108" t="s">
        <v>127</v>
      </c>
      <c r="E31" s="115">
        <f>B28/E25</f>
        <v>239.13043478260872</v>
      </c>
      <c r="F31" s="52"/>
      <c r="G31" s="108"/>
      <c r="H31" s="109"/>
      <c r="I31" s="52"/>
      <c r="J31" s="108"/>
      <c r="K31" s="109"/>
    </row>
    <row r="32" ht="13.5" thickBot="1"/>
    <row r="33" ht="13.5" thickBot="1">
      <c r="A33" s="82" t="s">
        <v>134</v>
      </c>
    </row>
    <row r="34" ht="13.5" thickBot="1">
      <c r="A34" s="49"/>
    </row>
    <row r="35" spans="1:15" ht="13.5" thickBot="1">
      <c r="A35" s="124" t="s">
        <v>162</v>
      </c>
      <c r="B35" s="5"/>
      <c r="C35" s="5"/>
      <c r="D35" s="5"/>
      <c r="E35" s="5"/>
      <c r="F35" s="54"/>
      <c r="H35" s="125" t="s">
        <v>163</v>
      </c>
      <c r="I35" s="126"/>
      <c r="J35" s="5"/>
      <c r="K35" s="5"/>
      <c r="L35" s="5"/>
      <c r="M35" s="5"/>
      <c r="N35" s="5"/>
      <c r="O35" s="54"/>
    </row>
    <row r="36" spans="1:15" ht="13.5" thickBot="1">
      <c r="A36" s="50"/>
      <c r="F36" s="51"/>
      <c r="H36" s="50"/>
      <c r="O36" s="51"/>
    </row>
    <row r="37" spans="1:17" ht="13.5" thickBot="1">
      <c r="A37" s="53"/>
      <c r="B37" s="89" t="s">
        <v>371</v>
      </c>
      <c r="E37" s="197" t="s">
        <v>147</v>
      </c>
      <c r="F37" s="87"/>
      <c r="H37" s="133" t="s">
        <v>164</v>
      </c>
      <c r="I37" s="76"/>
      <c r="J37" s="88">
        <f>Programa!G14</f>
        <v>1</v>
      </c>
      <c r="N37" s="53"/>
      <c r="O37" s="89" t="s">
        <v>167</v>
      </c>
      <c r="P37" t="s">
        <v>389</v>
      </c>
      <c r="Q37" t="s">
        <v>376</v>
      </c>
    </row>
    <row r="38" spans="1:17" ht="13.5" thickBot="1">
      <c r="A38" s="79" t="s">
        <v>145</v>
      </c>
      <c r="B38" s="80">
        <f>MAX(B47:D47)</f>
        <v>36.9297910546875</v>
      </c>
      <c r="C38" s="85"/>
      <c r="E38" s="199" t="str">
        <f>Programa!F18</f>
        <v>Empotrado-Empotrado</v>
      </c>
      <c r="F38" s="87"/>
      <c r="H38" s="133" t="s">
        <v>165</v>
      </c>
      <c r="I38" s="76"/>
      <c r="J38" s="88">
        <f>H20/K38*100</f>
        <v>1.3875</v>
      </c>
      <c r="K38" s="45">
        <f>VLOOKUP(Programa!G15,Datos!J27:K29,2,FALSE)</f>
        <v>400</v>
      </c>
      <c r="N38" s="79" t="s">
        <v>145</v>
      </c>
      <c r="O38" s="80">
        <f>MAX(K54:K55)</f>
        <v>4497.476548723493</v>
      </c>
      <c r="P38">
        <f>Coordenadas!DE30</f>
        <v>4497.038524305555</v>
      </c>
      <c r="Q38" s="216">
        <f>MAX(O38,P38)</f>
        <v>4497.476548723493</v>
      </c>
    </row>
    <row r="39" spans="1:17" ht="12.75">
      <c r="A39" s="79" t="s">
        <v>142</v>
      </c>
      <c r="B39" s="80">
        <f>MAX(B48:D48)</f>
        <v>36.929791054687506</v>
      </c>
      <c r="C39" s="85"/>
      <c r="E39" s="14" t="s">
        <v>87</v>
      </c>
      <c r="F39" s="198">
        <f>VLOOKUP(E38,A38:C41,2,FALSE)</f>
        <v>24.619860703125003</v>
      </c>
      <c r="H39" s="50"/>
      <c r="I39" s="85"/>
      <c r="N39" s="79" t="s">
        <v>142</v>
      </c>
      <c r="O39" s="80">
        <f>MAX(K61:K62)</f>
        <v>1870.7593937580805</v>
      </c>
      <c r="P39">
        <f>Coordenadas!DE66</f>
        <v>1870.1548068576387</v>
      </c>
      <c r="Q39" s="216">
        <f>MAX(O39,P39)</f>
        <v>1870.7593937580805</v>
      </c>
    </row>
    <row r="40" spans="1:17" ht="13.5" thickBot="1">
      <c r="A40" s="79" t="s">
        <v>143</v>
      </c>
      <c r="B40" s="80">
        <f>MAX(B49:D49)</f>
        <v>24.619860703125003</v>
      </c>
      <c r="C40" s="85"/>
      <c r="E40" s="189" t="s">
        <v>169</v>
      </c>
      <c r="F40" s="190">
        <f>F39/E31*1000</f>
        <v>102.9557811221591</v>
      </c>
      <c r="G40" s="49"/>
      <c r="H40" s="129" t="s">
        <v>166</v>
      </c>
      <c r="I40" s="78"/>
      <c r="J40" s="88">
        <f>MIN(J37:J38)</f>
        <v>1</v>
      </c>
      <c r="N40" s="79" t="s">
        <v>143</v>
      </c>
      <c r="O40" s="80">
        <f>MAX(K68:K69)</f>
        <v>899.4953097446984</v>
      </c>
      <c r="P40">
        <f>Coordenadas!DE48</f>
        <v>899.3493055555552</v>
      </c>
      <c r="Q40" s="216">
        <f>MAX(O40,P40)</f>
        <v>899.4953097446984</v>
      </c>
    </row>
    <row r="41" spans="1:17" ht="13.5" thickBot="1">
      <c r="A41" s="81" t="s">
        <v>144</v>
      </c>
      <c r="B41" s="90">
        <f>MAX(B50:D50)</f>
        <v>147.71916421875</v>
      </c>
      <c r="C41" s="85"/>
      <c r="E41" s="191" t="s">
        <v>374</v>
      </c>
      <c r="F41" s="193">
        <f>VLOOKUP($E$38,$A$47:$F$50,5,FALSE)</f>
        <v>26.616065625</v>
      </c>
      <c r="H41" s="50"/>
      <c r="N41" s="81" t="s">
        <v>144</v>
      </c>
      <c r="O41" s="90">
        <f>MAX(K75:K76)</f>
        <v>43175.774867745524</v>
      </c>
      <c r="P41">
        <f>Coordenadas!DE84</f>
        <v>42657.14703621028</v>
      </c>
      <c r="Q41" s="216">
        <f>MAX(O41,P41)</f>
        <v>43175.774867745524</v>
      </c>
    </row>
    <row r="42" spans="1:15" ht="13.5" thickBot="1">
      <c r="A42" s="50"/>
      <c r="B42" s="85"/>
      <c r="C42" s="85"/>
      <c r="E42" s="195" t="s">
        <v>375</v>
      </c>
      <c r="F42" s="196">
        <f>VLOOKUP($E$38,$A$47:$F$50,6,FALSE)</f>
        <v>0.9722695195195192</v>
      </c>
      <c r="H42" s="50"/>
      <c r="O42" s="188"/>
    </row>
    <row r="43" spans="1:15" ht="12.75">
      <c r="A43" s="50"/>
      <c r="B43" s="85"/>
      <c r="C43" s="85"/>
      <c r="E43" s="191" t="s">
        <v>373</v>
      </c>
      <c r="F43" s="193">
        <f>VLOOKUP($E$38,$A$47:$F$50,3,FALSE)</f>
        <v>12.306933046875004</v>
      </c>
      <c r="H43" s="50"/>
      <c r="O43" s="188"/>
    </row>
    <row r="44" spans="1:15" ht="13.5" thickBot="1">
      <c r="A44" s="50"/>
      <c r="B44" s="85"/>
      <c r="C44" s="85"/>
      <c r="E44" s="192" t="s">
        <v>370</v>
      </c>
      <c r="F44" s="194">
        <f>VLOOKUP($E$38,$A$47:$F$50,4,FALSE)</f>
        <v>24.619860703125</v>
      </c>
      <c r="H44" s="50"/>
      <c r="O44" s="188"/>
    </row>
    <row r="45" spans="1:15" ht="13.5" thickBot="1">
      <c r="A45" s="50"/>
      <c r="F45" s="51"/>
      <c r="H45" s="50"/>
      <c r="O45" s="51"/>
    </row>
    <row r="46" spans="1:15" ht="12.75">
      <c r="A46" s="93"/>
      <c r="B46" s="138" t="s">
        <v>372</v>
      </c>
      <c r="C46" s="138" t="s">
        <v>373</v>
      </c>
      <c r="D46" s="2" t="s">
        <v>370</v>
      </c>
      <c r="E46" s="185" t="s">
        <v>374</v>
      </c>
      <c r="F46" s="54" t="s">
        <v>375</v>
      </c>
      <c r="H46" s="50"/>
      <c r="O46" s="51"/>
    </row>
    <row r="47" spans="1:15" ht="12.75">
      <c r="A47" s="79" t="s">
        <v>145</v>
      </c>
      <c r="B47" s="179">
        <f>MAX(maa)</f>
        <v>36.9297910546875</v>
      </c>
      <c r="C47" s="181">
        <f>Coordenadas!DA22</f>
        <v>36.92679375</v>
      </c>
      <c r="D47" s="182">
        <f>Coordenadas!DC22</f>
        <v>0</v>
      </c>
      <c r="E47" s="186">
        <f>Coordenadas!DE26</f>
        <v>4.7956875000000005</v>
      </c>
      <c r="F47" s="128">
        <f>Coordenadas!DE34</f>
        <v>4.861663269519519</v>
      </c>
      <c r="H47" s="50"/>
      <c r="O47" s="51"/>
    </row>
    <row r="48" spans="1:15" ht="12.75">
      <c r="A48" s="79" t="s">
        <v>142</v>
      </c>
      <c r="B48" s="179">
        <f>MAX(D61:D64)</f>
        <v>36.929791054687506</v>
      </c>
      <c r="C48" s="181">
        <f>Coordenadas!DA58</f>
        <v>20.771321484374997</v>
      </c>
      <c r="D48" s="182">
        <f>Coordenadas!DC58</f>
        <v>35.27827617187489</v>
      </c>
      <c r="E48" s="186">
        <f>Coordenadas!DE62</f>
        <v>32.79051328124997</v>
      </c>
      <c r="F48" s="128">
        <f>Coordenadas!DE70</f>
        <v>2.0217889803866362</v>
      </c>
      <c r="H48" s="50"/>
      <c r="O48" s="51"/>
    </row>
    <row r="49" spans="1:15" ht="12.75">
      <c r="A49" s="79" t="s">
        <v>143</v>
      </c>
      <c r="B49" s="179">
        <f>MAX(D68:D71)</f>
        <v>24.619860703125003</v>
      </c>
      <c r="C49" s="181">
        <f>Coordenadas!DA40</f>
        <v>12.306933046875004</v>
      </c>
      <c r="D49" s="182">
        <f>Coordenadas!DC40</f>
        <v>24.619860703125</v>
      </c>
      <c r="E49" s="186">
        <f>Coordenadas!DE44</f>
        <v>26.616065625</v>
      </c>
      <c r="F49" s="128">
        <f>Coordenadas!DE52</f>
        <v>0.9722695195195192</v>
      </c>
      <c r="H49" s="50"/>
      <c r="O49" s="51"/>
    </row>
    <row r="50" spans="1:15" ht="13.5" thickBot="1">
      <c r="A50" s="81" t="s">
        <v>144</v>
      </c>
      <c r="B50" s="180">
        <f>MAX(D75:D76)</f>
        <v>147.71916421875</v>
      </c>
      <c r="C50" s="183">
        <f>Coordenadas!DA76</f>
        <v>0</v>
      </c>
      <c r="D50" s="184">
        <f>Coordenadas!DC76</f>
        <v>147.71916421875</v>
      </c>
      <c r="E50" s="187">
        <f>Coordenadas!DE80</f>
        <v>53.23213125</v>
      </c>
      <c r="F50" s="132">
        <f>Coordenadas!DE88</f>
        <v>46.115834633740846</v>
      </c>
      <c r="H50" s="50"/>
      <c r="O50" s="51"/>
    </row>
    <row r="51" spans="1:15" ht="13.5" thickBot="1">
      <c r="A51" s="50"/>
      <c r="F51" s="51"/>
      <c r="H51" s="50"/>
      <c r="O51" s="51"/>
    </row>
    <row r="52" spans="1:15" ht="12.75">
      <c r="A52" s="50"/>
      <c r="B52" s="47" t="s">
        <v>130</v>
      </c>
      <c r="C52" s="75"/>
      <c r="D52" s="76"/>
      <c r="F52" s="51"/>
      <c r="H52" s="50"/>
      <c r="I52" s="47" t="s">
        <v>130</v>
      </c>
      <c r="J52" s="75"/>
      <c r="K52" s="76"/>
      <c r="N52" s="93" t="s">
        <v>147</v>
      </c>
      <c r="O52" s="89"/>
    </row>
    <row r="53" spans="1:15" ht="12.75">
      <c r="A53" s="50"/>
      <c r="B53" s="74" t="s">
        <v>137</v>
      </c>
      <c r="C53" s="74" t="s">
        <v>140</v>
      </c>
      <c r="D53" s="73" t="s">
        <v>61</v>
      </c>
      <c r="E53" s="83"/>
      <c r="F53" s="127" t="s">
        <v>146</v>
      </c>
      <c r="G53" s="83"/>
      <c r="H53" s="50"/>
      <c r="I53" s="100" t="s">
        <v>197</v>
      </c>
      <c r="J53" s="100" t="s">
        <v>198</v>
      </c>
      <c r="K53" s="73" t="s">
        <v>61</v>
      </c>
      <c r="L53" s="127" t="s">
        <v>146</v>
      </c>
      <c r="M53" s="49"/>
      <c r="N53" s="79" t="str">
        <f>Programa!F18</f>
        <v>Empotrado-Empotrado</v>
      </c>
      <c r="O53" s="94"/>
    </row>
    <row r="54" spans="1:15" ht="13.5" thickBot="1">
      <c r="A54" s="79" t="s">
        <v>135</v>
      </c>
      <c r="B54" s="77">
        <f>(($H$21*$H$20)*F54/(2*$H$20))*($H$20-F54)</f>
        <v>0</v>
      </c>
      <c r="C54" s="77">
        <f>IF(F54&lt;=$H$23,$H$22*F54*($H$20-$H$23)/$H$20,$H$22*$H$23*($H$20-F54)/$H$20)</f>
        <v>0</v>
      </c>
      <c r="D54" s="77">
        <f>B54+C54</f>
        <v>0</v>
      </c>
      <c r="E54" s="49"/>
      <c r="F54" s="128">
        <v>0</v>
      </c>
      <c r="G54" s="84"/>
      <c r="H54" s="79" t="s">
        <v>138</v>
      </c>
      <c r="I54" s="77">
        <f>(($B$23*$B$22*L54)/(24*$H$26*$J$40))*((($B$22*$B$22*$B$22)-(2*$B$22*L54*L54)+(L54*L54*L54))/$B$22)*10000000</f>
        <v>4497.476548723493</v>
      </c>
      <c r="J54" s="155">
        <f>((B25*H23*(B22-L54))/(6*H26*J40))*(((B22*B22)-(H23*H23)-((B22-L54)*(B22-L54)))/B22)*10000000</f>
        <v>0</v>
      </c>
      <c r="K54" s="77">
        <f>I54+J54</f>
        <v>4497.476548723493</v>
      </c>
      <c r="L54" s="77">
        <f>B22/2</f>
        <v>2.775</v>
      </c>
      <c r="M54" s="49"/>
      <c r="N54" s="81" t="s">
        <v>168</v>
      </c>
      <c r="O54" s="95">
        <f>VLOOKUP(N53,N38:Q41,4,FALSE)</f>
        <v>899.4953097446984</v>
      </c>
    </row>
    <row r="55" spans="1:15" ht="12.75">
      <c r="A55" s="79" t="s">
        <v>136</v>
      </c>
      <c r="B55" s="77">
        <f>(($H$21*$H$20)*F55/(2*$H$20))*($H$20-F55)</f>
        <v>0</v>
      </c>
      <c r="C55" s="77">
        <f>IF(F55&lt;=$H$23,$H$22*F55*($H$20-$H$23)/$H$20,$H$22*$H$23*($H$20-F55)/$H$20)</f>
        <v>0</v>
      </c>
      <c r="D55" s="77">
        <f>B55+C55</f>
        <v>0</v>
      </c>
      <c r="E55" s="84"/>
      <c r="F55" s="128">
        <f>H20</f>
        <v>5.55</v>
      </c>
      <c r="G55" s="84"/>
      <c r="H55" s="79" t="s">
        <v>311</v>
      </c>
      <c r="I55" s="77">
        <f>(($B$23*$B$22*L55)/(24*$H$26*$J$40))*((($B$22*$B$22*$B$22)-(2*$B$22*L55*L55)+(L55*L55*L55))/$B$22)*10000000</f>
        <v>3908.9178892609125</v>
      </c>
      <c r="J55" s="77">
        <f>((B25*H23*K23*(2*H23+K23))/(27*H26*J40))*((SQRT(3*K23*(2*K23+H23))/B22))*10000000</f>
        <v>0</v>
      </c>
      <c r="K55" s="77">
        <f>I55+J55</f>
        <v>3908.9178892609125</v>
      </c>
      <c r="L55" s="77">
        <f>SQRT(K23*(2*H23+K23))/3</f>
        <v>1.8499999999999999</v>
      </c>
      <c r="O55" s="51"/>
    </row>
    <row r="56" spans="1:15" ht="12.75">
      <c r="A56" s="129" t="s">
        <v>138</v>
      </c>
      <c r="B56" s="77">
        <f>(($H$21*$H$20)*F56/(2*$H$20))*($H$20-F56)</f>
        <v>36.9297910546875</v>
      </c>
      <c r="C56" s="77">
        <f>IF(F56&lt;=$H$23,$H$22*F56*($H$20-$H$23)/$H$20,$H$22*$H$23*($H$20-F56)/$H$20)</f>
        <v>0</v>
      </c>
      <c r="D56" s="77">
        <f>B56+C56</f>
        <v>36.9297910546875</v>
      </c>
      <c r="E56" s="84"/>
      <c r="F56" s="128">
        <f>H20/2</f>
        <v>2.775</v>
      </c>
      <c r="G56" s="84"/>
      <c r="H56" s="50"/>
      <c r="O56" s="51"/>
    </row>
    <row r="57" spans="1:15" ht="12.75">
      <c r="A57" s="129" t="s">
        <v>139</v>
      </c>
      <c r="B57" s="77">
        <f>(($H$21*$H$20)*F57/(2*$H$20))*($H$20-F57)</f>
        <v>0</v>
      </c>
      <c r="C57" s="77">
        <f>IF(F57&lt;=$H$23,$H$22*F57*($H$20-$H$23)/$H$20,$H$22*$H$23*($H$20-F57)/$H$20)</f>
        <v>0</v>
      </c>
      <c r="D57" s="77">
        <f>B57+C57</f>
        <v>0</v>
      </c>
      <c r="E57" s="84"/>
      <c r="F57" s="128">
        <f>H23</f>
        <v>0</v>
      </c>
      <c r="G57" s="84"/>
      <c r="H57" s="50"/>
      <c r="O57" s="51"/>
    </row>
    <row r="58" spans="1:15" ht="12.75">
      <c r="A58" s="50"/>
      <c r="F58" s="51"/>
      <c r="H58" s="50"/>
      <c r="O58" s="51"/>
    </row>
    <row r="59" spans="1:15" ht="12.75">
      <c r="A59" s="50"/>
      <c r="B59" s="47" t="s">
        <v>131</v>
      </c>
      <c r="C59" s="75"/>
      <c r="D59" s="76"/>
      <c r="F59" s="51"/>
      <c r="H59" s="50"/>
      <c r="I59" s="47" t="s">
        <v>131</v>
      </c>
      <c r="J59" s="75"/>
      <c r="K59" s="76"/>
      <c r="O59" s="51"/>
    </row>
    <row r="60" spans="1:15" ht="12.75">
      <c r="A60" s="50"/>
      <c r="B60" s="74" t="s">
        <v>137</v>
      </c>
      <c r="C60" s="74" t="s">
        <v>140</v>
      </c>
      <c r="D60" s="73" t="s">
        <v>61</v>
      </c>
      <c r="E60" s="83"/>
      <c r="F60" s="127" t="s">
        <v>146</v>
      </c>
      <c r="G60" s="83"/>
      <c r="H60" s="50"/>
      <c r="I60" s="100" t="s">
        <v>197</v>
      </c>
      <c r="J60" s="100" t="s">
        <v>198</v>
      </c>
      <c r="K60" s="73" t="s">
        <v>61</v>
      </c>
      <c r="L60" s="127" t="s">
        <v>146</v>
      </c>
      <c r="N60" s="99"/>
      <c r="O60" s="51"/>
    </row>
    <row r="61" spans="1:15" ht="12.75">
      <c r="A61" s="79" t="s">
        <v>135</v>
      </c>
      <c r="B61" s="77">
        <f>$H$21*$H$20*F61*(3*$H$20-4*F61)/(8*$H$20)</f>
        <v>0</v>
      </c>
      <c r="C61" s="77">
        <v>0</v>
      </c>
      <c r="D61" s="77">
        <f>B61+C61</f>
        <v>0</v>
      </c>
      <c r="E61" s="49"/>
      <c r="F61" s="128">
        <v>0</v>
      </c>
      <c r="G61" s="84"/>
      <c r="H61" s="79" t="s">
        <v>310</v>
      </c>
      <c r="I61" s="77">
        <f>($B$23*$B$22*L61/(48*$H$26*$J$40))*((($B$22*$B$22*$B$22)-(3*$B$22*L61*L61)+(2*L61*L61*L61))/$B$22)*10000000</f>
        <v>1870.7593937580805</v>
      </c>
      <c r="J61" s="77">
        <f>B25*H23*K23*K23/(6*H26*J40)*SQRT(H23/(H23+2*B22))*10000000</f>
        <v>0</v>
      </c>
      <c r="K61" s="77">
        <f>I61+J61</f>
        <v>1870.7593937580805</v>
      </c>
      <c r="L61" s="73">
        <f>0.422*B22</f>
        <v>2.3421</v>
      </c>
      <c r="O61" s="51"/>
    </row>
    <row r="62" spans="1:15" ht="12.75">
      <c r="A62" s="79" t="s">
        <v>136</v>
      </c>
      <c r="B62" s="77">
        <f>$H$21*$H$20*F62*(3*$H$20-4*F62)/(8*$H$20)*(-1)</f>
        <v>36.929791054687506</v>
      </c>
      <c r="C62" s="77">
        <f>$H$22*$H$23*(($H$20*$H$20)-($H$23*$H$23))/(2*$H$20*$H$20)</f>
        <v>0</v>
      </c>
      <c r="D62" s="77">
        <f>IF(H23&gt;(H20/2),B62-C62,B62+C62)</f>
        <v>36.929791054687506</v>
      </c>
      <c r="E62" s="84"/>
      <c r="F62" s="128">
        <f>$H$20</f>
        <v>5.55</v>
      </c>
      <c r="G62" s="84"/>
      <c r="H62" s="79" t="s">
        <v>314</v>
      </c>
      <c r="I62" s="77">
        <f>($B$23*$B$22*L62/(48*$H$26*$J$40))*((($B$22*$B$22*$B$22)-(3*$B$22*L62*L62)+(2*L62*L62*L62))/$B$22)*10000000</f>
        <v>0</v>
      </c>
      <c r="J62" s="154">
        <f>J61</f>
        <v>0</v>
      </c>
      <c r="K62" s="77">
        <f>I62+J62</f>
        <v>0</v>
      </c>
      <c r="L62" s="77">
        <f>B22*SQRT(B26/(B26+2*B22))</f>
        <v>0</v>
      </c>
      <c r="O62" s="51"/>
    </row>
    <row r="63" spans="1:15" ht="12.75">
      <c r="A63" s="129" t="s">
        <v>154</v>
      </c>
      <c r="B63" s="77">
        <f>$H$21*$H$20*F63*(3*$H$20-4*F63)/(8*$H$20)</f>
        <v>20.773007468261717</v>
      </c>
      <c r="C63" s="77"/>
      <c r="D63" s="77">
        <f>B63+C63</f>
        <v>20.773007468261717</v>
      </c>
      <c r="E63" s="84"/>
      <c r="F63" s="128">
        <f>$H$20*3/8</f>
        <v>2.08125</v>
      </c>
      <c r="G63" s="84"/>
      <c r="H63" s="45" t="s">
        <v>315</v>
      </c>
      <c r="I63" s="77">
        <f>($B$23*$B$22*L63/(48*$H$26*$J$40))*((($B$22*$B$22*$B$22)-(3*$B$22*L63*L63)+(2*L63*L63*L63))/$B$22)*10000000</f>
        <v>1776.7808587549603</v>
      </c>
      <c r="J63" s="154">
        <f>J62</f>
        <v>0</v>
      </c>
      <c r="K63" s="77">
        <f>I63+J63</f>
        <v>1776.7808587549603</v>
      </c>
      <c r="L63" s="77">
        <f>B22*((B22*B22)+(B26*B26))/((3*B22*B22)-(B26*B26))</f>
        <v>1.85</v>
      </c>
      <c r="O63" s="51"/>
    </row>
    <row r="64" spans="1:15" ht="12.75">
      <c r="A64" s="129" t="s">
        <v>139</v>
      </c>
      <c r="B64" s="77">
        <f>$H$21*$H$20*F64*(3*$H$20-4*F64)/(8*$H$20)</f>
        <v>0</v>
      </c>
      <c r="C64" s="77">
        <f>H22*H23*(H20-H23)*(H20-H23)*(2*H20+H23)/(2*H20*H20)</f>
        <v>0</v>
      </c>
      <c r="D64" s="77">
        <f>B64+C64</f>
        <v>0</v>
      </c>
      <c r="E64" s="84"/>
      <c r="F64" s="128">
        <f>H23</f>
        <v>0</v>
      </c>
      <c r="G64" s="84"/>
      <c r="H64" s="50"/>
      <c r="O64" s="51"/>
    </row>
    <row r="65" spans="1:15" ht="12.75">
      <c r="A65" s="50"/>
      <c r="F65" s="51"/>
      <c r="H65" s="50"/>
      <c r="O65" s="51"/>
    </row>
    <row r="66" spans="1:15" ht="12.75">
      <c r="A66" s="50"/>
      <c r="B66" s="47" t="s">
        <v>132</v>
      </c>
      <c r="C66" s="75"/>
      <c r="D66" s="76"/>
      <c r="F66" s="51"/>
      <c r="H66" s="50"/>
      <c r="I66" s="47" t="s">
        <v>132</v>
      </c>
      <c r="J66" s="75"/>
      <c r="K66" s="76"/>
      <c r="O66" s="51"/>
    </row>
    <row r="67" spans="1:15" ht="12.75">
      <c r="A67" s="50"/>
      <c r="B67" s="74" t="s">
        <v>137</v>
      </c>
      <c r="C67" s="73" t="s">
        <v>140</v>
      </c>
      <c r="D67" s="73" t="s">
        <v>61</v>
      </c>
      <c r="E67" s="83"/>
      <c r="F67" s="127" t="s">
        <v>146</v>
      </c>
      <c r="G67" s="83"/>
      <c r="H67" s="50"/>
      <c r="I67" s="100" t="s">
        <v>197</v>
      </c>
      <c r="J67" s="100" t="s">
        <v>198</v>
      </c>
      <c r="K67" s="73" t="s">
        <v>61</v>
      </c>
      <c r="L67" s="127" t="s">
        <v>146</v>
      </c>
      <c r="O67" s="51"/>
    </row>
    <row r="68" spans="1:15" ht="12.75">
      <c r="A68" s="79" t="s">
        <v>135</v>
      </c>
      <c r="B68" s="77">
        <f>ABS($H$21*$H$20*((6*$H$20*F68)-(6*F68*F68)-($H$20*$H$20))/(12*$H$20))</f>
        <v>24.619860703125003</v>
      </c>
      <c r="C68" s="77">
        <f>$H$22*$H$23*$K$23*$K$23/($H$20*$H$20)</f>
        <v>0</v>
      </c>
      <c r="D68" s="77">
        <f>B68+C68</f>
        <v>24.619860703125003</v>
      </c>
      <c r="E68" s="49"/>
      <c r="F68" s="128">
        <v>0</v>
      </c>
      <c r="G68" s="84"/>
      <c r="H68" s="79" t="s">
        <v>138</v>
      </c>
      <c r="I68" s="77">
        <f>($B$23*$B$22*L68*L68/(24*$H$26*$J$40))*((($B$22*$B$22)+(L68*L68)-(2*$B$22*L68))/$B$22)*10000000</f>
        <v>899.4953097446984</v>
      </c>
      <c r="J68" s="154">
        <f>J69</f>
        <v>0</v>
      </c>
      <c r="K68" s="77">
        <f>I68+J68</f>
        <v>899.4953097446984</v>
      </c>
      <c r="L68" s="73">
        <f>B22/2</f>
        <v>2.775</v>
      </c>
      <c r="O68" s="51"/>
    </row>
    <row r="69" spans="1:15" ht="12.75">
      <c r="A69" s="79" t="s">
        <v>136</v>
      </c>
      <c r="B69" s="77">
        <f>ABS($H$21*$H$20*((6*$H$20*F69)-(6*F69*F69)-($H$20*$H$20))/(12*$H$20))</f>
        <v>24.619860703125003</v>
      </c>
      <c r="C69" s="77">
        <f>$H$22*$H$23*($H$20-$H$23)*($H$20-$H$23)/($H$20*$H$20)</f>
        <v>0</v>
      </c>
      <c r="D69" s="77">
        <f>B69+C69</f>
        <v>24.619860703125003</v>
      </c>
      <c r="E69" s="84"/>
      <c r="F69" s="128">
        <f>$H$20</f>
        <v>5.55</v>
      </c>
      <c r="G69" s="84"/>
      <c r="H69" s="79" t="s">
        <v>311</v>
      </c>
      <c r="I69" s="77">
        <f>($B$23*$B$22*L69*L69/(24*$H$26*$J$40))*((($B$22*$B$22)+(L69*L69)-(2*$B$22*L69))/$B$22)*10000000</f>
        <v>710.7123435019837</v>
      </c>
      <c r="J69" s="77">
        <f>2*B25*H23*H23*K23*K23/(3*H26*J40*((H23+3*K23)*(H23+3*K23)))*10000000</f>
        <v>0</v>
      </c>
      <c r="K69" s="77">
        <f>I69+J69</f>
        <v>710.7123435019837</v>
      </c>
      <c r="L69" s="77">
        <f>B22-((2*K23*B22)/(3*K23+B26))</f>
        <v>1.8499999999999996</v>
      </c>
      <c r="O69" s="51"/>
    </row>
    <row r="70" spans="1:15" ht="12.75">
      <c r="A70" s="129" t="s">
        <v>138</v>
      </c>
      <c r="B70" s="77">
        <f>ABS($H$21*$H$20*((6*$H$20*F70)-(6*F70*F70)-($H$20*$H$20))/(12*$H$20))</f>
        <v>12.309930351562498</v>
      </c>
      <c r="C70" s="77">
        <f>$H$22*$H$20/8</f>
        <v>0</v>
      </c>
      <c r="D70" s="77">
        <f>B70+C70</f>
        <v>12.309930351562498</v>
      </c>
      <c r="E70" s="84"/>
      <c r="F70" s="128">
        <f>$H$20/2</f>
        <v>2.775</v>
      </c>
      <c r="G70" s="84"/>
      <c r="H70" s="50"/>
      <c r="O70" s="51"/>
    </row>
    <row r="71" spans="1:15" ht="12.75">
      <c r="A71" s="129" t="s">
        <v>139</v>
      </c>
      <c r="B71" s="77">
        <f>ABS($H$21*$H$20*((6*$H$20*F71)-(6*F71*F71)-($H$20*$H$20))/(12*$H$20))</f>
        <v>24.619860703125003</v>
      </c>
      <c r="C71" s="77">
        <f>2*$H$22*$H$23*$H$23*$K$23*$K$23/($H$20*$H$20)</f>
        <v>0</v>
      </c>
      <c r="D71" s="77">
        <f>B71+C71</f>
        <v>24.619860703125003</v>
      </c>
      <c r="E71" s="84"/>
      <c r="F71" s="128">
        <f>H23</f>
        <v>0</v>
      </c>
      <c r="G71" s="84"/>
      <c r="H71" s="50"/>
      <c r="O71" s="51"/>
    </row>
    <row r="72" spans="1:15" ht="12.75">
      <c r="A72" s="50"/>
      <c r="F72" s="51"/>
      <c r="H72" s="50"/>
      <c r="O72" s="51"/>
    </row>
    <row r="73" spans="1:15" ht="12.75">
      <c r="A73" s="50"/>
      <c r="B73" s="47" t="s">
        <v>133</v>
      </c>
      <c r="C73" s="75"/>
      <c r="D73" s="76"/>
      <c r="F73" s="51"/>
      <c r="H73" s="50"/>
      <c r="I73" s="47" t="s">
        <v>133</v>
      </c>
      <c r="J73" s="75"/>
      <c r="K73" s="76"/>
      <c r="O73" s="51"/>
    </row>
    <row r="74" spans="1:15" ht="12.75">
      <c r="A74" s="50"/>
      <c r="B74" s="74" t="s">
        <v>137</v>
      </c>
      <c r="C74" s="74" t="s">
        <v>140</v>
      </c>
      <c r="D74" s="73" t="s">
        <v>61</v>
      </c>
      <c r="E74" s="83"/>
      <c r="F74" s="127" t="s">
        <v>146</v>
      </c>
      <c r="G74" s="83"/>
      <c r="H74" s="50"/>
      <c r="I74" s="100" t="s">
        <v>197</v>
      </c>
      <c r="J74" s="100" t="s">
        <v>198</v>
      </c>
      <c r="K74" s="73" t="s">
        <v>61</v>
      </c>
      <c r="L74" s="127" t="s">
        <v>146</v>
      </c>
      <c r="O74" s="51"/>
    </row>
    <row r="75" spans="1:15" ht="12.75">
      <c r="A75" s="79" t="s">
        <v>135</v>
      </c>
      <c r="B75" s="77">
        <f>$H$21*$H$20^2/2</f>
        <v>147.71916421875</v>
      </c>
      <c r="C75" s="77">
        <f>$H$22*$H$23</f>
        <v>0</v>
      </c>
      <c r="D75" s="77">
        <f>B75+C75</f>
        <v>147.71916421875</v>
      </c>
      <c r="E75" s="49"/>
      <c r="F75" s="128">
        <v>0</v>
      </c>
      <c r="G75" s="84"/>
      <c r="H75" s="79" t="s">
        <v>309</v>
      </c>
      <c r="I75" s="77">
        <f>(3*B22*B22*B22*B22*B23)*10000000/(24*H26*J40)</f>
        <v>43175.774867745524</v>
      </c>
      <c r="J75" s="77">
        <f>(B25*B26*B26*(3*B22-B26)*10000000)/(24*J40*H26)</f>
        <v>0</v>
      </c>
      <c r="K75" s="77">
        <f>I75+J75</f>
        <v>43175.774867745524</v>
      </c>
      <c r="L75" s="151">
        <f>B22</f>
        <v>5.55</v>
      </c>
      <c r="O75" s="51"/>
    </row>
    <row r="76" spans="1:15" ht="13.5" thickBot="1">
      <c r="A76" s="81" t="s">
        <v>136</v>
      </c>
      <c r="B76" s="130">
        <v>0</v>
      </c>
      <c r="C76" s="130">
        <v>0</v>
      </c>
      <c r="D76" s="130">
        <f>B76+C76</f>
        <v>0</v>
      </c>
      <c r="E76" s="131"/>
      <c r="F76" s="132">
        <f>H52</f>
        <v>0</v>
      </c>
      <c r="G76" s="84"/>
      <c r="H76" s="81"/>
      <c r="I76" s="130"/>
      <c r="J76" s="130"/>
      <c r="K76" s="130"/>
      <c r="L76" s="77"/>
      <c r="M76" s="52"/>
      <c r="N76" s="52"/>
      <c r="O76" s="109"/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62 D6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DE88"/>
  <sheetViews>
    <sheetView zoomScalePageLayoutView="0" workbookViewId="0" topLeftCell="A1">
      <pane ySplit="16" topLeftCell="A63" activePane="bottomLeft" state="frozen"/>
      <selection pane="topLeft" activeCell="H5" sqref="H5"/>
      <selection pane="bottomLeft" activeCell="N95" sqref="N95"/>
    </sheetView>
  </sheetViews>
  <sheetFormatPr defaultColWidth="11.421875" defaultRowHeight="12.75"/>
  <cols>
    <col min="1" max="1" width="21.7109375" style="156" customWidth="1"/>
    <col min="2" max="102" width="9.7109375" style="156" customWidth="1"/>
    <col min="103" max="103" width="11.140625" style="165" customWidth="1"/>
    <col min="104" max="104" width="5.7109375" style="156" customWidth="1"/>
    <col min="105" max="109" width="8.7109375" style="156" customWidth="1"/>
    <col min="110" max="167" width="5.7109375" style="156" customWidth="1"/>
    <col min="168" max="16384" width="11.421875" style="156" customWidth="1"/>
  </cols>
  <sheetData>
    <row r="2" spans="1:12" ht="12.75">
      <c r="A2" s="156" t="s">
        <v>319</v>
      </c>
      <c r="B2" s="156">
        <f>Calculo!B22</f>
        <v>5.55</v>
      </c>
      <c r="E2" s="156" t="s">
        <v>352</v>
      </c>
      <c r="F2" s="165" t="s">
        <v>358</v>
      </c>
      <c r="H2" s="156" t="s">
        <v>357</v>
      </c>
      <c r="I2" s="165" t="s">
        <v>358</v>
      </c>
      <c r="L2" s="49"/>
    </row>
    <row r="3" spans="1:12" ht="12.75">
      <c r="A3" s="156" t="s">
        <v>320</v>
      </c>
      <c r="B3" s="156">
        <f>Calculo!E29</f>
        <v>9.591375000000001</v>
      </c>
      <c r="E3" s="156" t="s">
        <v>353</v>
      </c>
      <c r="F3" s="156">
        <f>B10*B6^2*(3*B5+B6)/B2^3</f>
        <v>0</v>
      </c>
      <c r="H3" s="156" t="s">
        <v>353</v>
      </c>
      <c r="I3" s="156">
        <f>B10*B6^2*(2*B2+B5)/(2*B2^3)</f>
        <v>0</v>
      </c>
      <c r="L3" s="49"/>
    </row>
    <row r="4" spans="1:12" ht="12.75">
      <c r="A4" s="156" t="s">
        <v>321</v>
      </c>
      <c r="B4" s="156">
        <f>Calculo!H22</f>
        <v>0</v>
      </c>
      <c r="E4" s="156" t="s">
        <v>354</v>
      </c>
      <c r="F4" s="156">
        <f>B10*B5^2*(3*B6+B5)/B2^3</f>
        <v>0</v>
      </c>
      <c r="H4" s="156" t="s">
        <v>354</v>
      </c>
      <c r="I4" s="156">
        <f>B10*B5*((3*B2^2)-B5^2)/(2*B2^3)</f>
        <v>0</v>
      </c>
      <c r="L4" s="49"/>
    </row>
    <row r="5" spans="1:12" ht="12.75">
      <c r="A5" s="156" t="s">
        <v>322</v>
      </c>
      <c r="B5" s="156">
        <f>Calculo!B26</f>
        <v>0</v>
      </c>
      <c r="E5" s="156" t="s">
        <v>355</v>
      </c>
      <c r="F5" s="156">
        <f>B10*B5*B6^2/B2^2</f>
        <v>0</v>
      </c>
      <c r="H5" s="156" t="s">
        <v>355</v>
      </c>
      <c r="I5" s="156">
        <v>0</v>
      </c>
      <c r="L5" s="49"/>
    </row>
    <row r="6" spans="1:12" ht="11.25">
      <c r="A6" s="156" t="s">
        <v>323</v>
      </c>
      <c r="B6" s="156">
        <f>B2-B5</f>
        <v>5.55</v>
      </c>
      <c r="E6" s="156" t="s">
        <v>356</v>
      </c>
      <c r="F6" s="156">
        <f>B10*B5^2*B6/B2^2</f>
        <v>0</v>
      </c>
      <c r="H6" s="156" t="s">
        <v>356</v>
      </c>
      <c r="I6" s="156">
        <f>B10*B5*((B2^2)-(B5^2))/(2*B2^2)</f>
        <v>0</v>
      </c>
      <c r="L6" s="178"/>
    </row>
    <row r="7" spans="1:8" ht="11.25">
      <c r="A7" s="156" t="s">
        <v>42</v>
      </c>
      <c r="B7" s="158">
        <v>210000</v>
      </c>
      <c r="E7" s="156" t="s">
        <v>384</v>
      </c>
      <c r="F7" s="156">
        <f>(F4*B2^2/2)-(F6*B2)</f>
        <v>0</v>
      </c>
      <c r="H7" s="156" t="s">
        <v>360</v>
      </c>
    </row>
    <row r="8" spans="1:12" ht="11.25">
      <c r="A8" s="156" t="s">
        <v>327</v>
      </c>
      <c r="B8" s="156">
        <f>Calculo!J40</f>
        <v>1</v>
      </c>
      <c r="E8" s="156" t="s">
        <v>385</v>
      </c>
      <c r="F8" s="156">
        <f>(F4*B2^3/3)-(F6*B2^2/2)-(F7*B2)</f>
        <v>0</v>
      </c>
      <c r="H8" s="156" t="s">
        <v>361</v>
      </c>
      <c r="I8" s="156">
        <v>0</v>
      </c>
      <c r="L8" s="178"/>
    </row>
    <row r="9" spans="1:9" ht="11.25">
      <c r="A9" s="156" t="s">
        <v>330</v>
      </c>
      <c r="B9" s="156">
        <f>Calculo!B23</f>
        <v>7.6450000000000005</v>
      </c>
      <c r="H9" s="156" t="s">
        <v>362</v>
      </c>
      <c r="I9" s="156">
        <f>IF(I3=0,0,(1/I3)*(B10*B5*B6^2)/(4*B2))</f>
        <v>0</v>
      </c>
    </row>
    <row r="10" spans="1:9" ht="11.25">
      <c r="A10" s="156" t="s">
        <v>331</v>
      </c>
      <c r="B10" s="156">
        <f>Calculo!B25</f>
        <v>0</v>
      </c>
      <c r="H10" s="156" t="s">
        <v>363</v>
      </c>
      <c r="I10" s="156">
        <f>B5^2/2</f>
        <v>0</v>
      </c>
    </row>
    <row r="11" spans="1:9" ht="11.25">
      <c r="A11" s="156" t="s">
        <v>338</v>
      </c>
      <c r="B11" s="165" t="str">
        <f>Programa!F21</f>
        <v>UPN 160</v>
      </c>
      <c r="H11" s="156" t="s">
        <v>364</v>
      </c>
      <c r="I11" s="156">
        <f>-B5^3/6</f>
        <v>0</v>
      </c>
    </row>
    <row r="12" spans="1:61" ht="11.25">
      <c r="A12" s="156" t="s">
        <v>339</v>
      </c>
      <c r="B12" s="156">
        <f>INDEX(Prontuario!$A:$XFD,MATCH(B11,Prontuario!X:X,0),10)</f>
        <v>925</v>
      </c>
      <c r="W12" s="172"/>
      <c r="BI12" s="178"/>
    </row>
    <row r="13" spans="1:23" ht="11.25">
      <c r="A13" s="156" t="s">
        <v>383</v>
      </c>
      <c r="B13" s="156" t="e">
        <f>B4/B10</f>
        <v>#DIV/0!</v>
      </c>
      <c r="W13" s="172"/>
    </row>
    <row r="14" spans="1:2" ht="11.25">
      <c r="A14" s="156" t="s">
        <v>399</v>
      </c>
      <c r="B14" s="156">
        <f>INDEX(Prontuario!$A:$XFD,MATCH(B11,Prontuario!X:X,0),11)</f>
        <v>116</v>
      </c>
    </row>
    <row r="15" spans="103:109" ht="11.25">
      <c r="CY15" s="165" t="s">
        <v>146</v>
      </c>
      <c r="DA15" s="156" t="s">
        <v>376</v>
      </c>
      <c r="DB15" s="156" t="s">
        <v>377</v>
      </c>
      <c r="DC15" s="156" t="s">
        <v>378</v>
      </c>
      <c r="DE15" s="156" t="s">
        <v>379</v>
      </c>
    </row>
    <row r="16" spans="1:103" ht="11.25">
      <c r="A16" s="156" t="s">
        <v>316</v>
      </c>
      <c r="B16" s="156">
        <v>0</v>
      </c>
      <c r="C16" s="156">
        <f>B16+0.1</f>
        <v>0.1</v>
      </c>
      <c r="D16" s="156">
        <f aca="true" t="shared" si="0" ref="D16:BO16">C16+0.1</f>
        <v>0.2</v>
      </c>
      <c r="E16" s="156">
        <f t="shared" si="0"/>
        <v>0.30000000000000004</v>
      </c>
      <c r="F16" s="156">
        <f t="shared" si="0"/>
        <v>0.4</v>
      </c>
      <c r="G16" s="156">
        <f t="shared" si="0"/>
        <v>0.5</v>
      </c>
      <c r="H16" s="156">
        <f t="shared" si="0"/>
        <v>0.6</v>
      </c>
      <c r="I16" s="156">
        <f t="shared" si="0"/>
        <v>0.7</v>
      </c>
      <c r="J16" s="156">
        <f t="shared" si="0"/>
        <v>0.7999999999999999</v>
      </c>
      <c r="K16" s="156">
        <f t="shared" si="0"/>
        <v>0.8999999999999999</v>
      </c>
      <c r="L16" s="156">
        <f t="shared" si="0"/>
        <v>0.9999999999999999</v>
      </c>
      <c r="M16" s="156">
        <f t="shared" si="0"/>
        <v>1.0999999999999999</v>
      </c>
      <c r="N16" s="156">
        <f t="shared" si="0"/>
        <v>1.2</v>
      </c>
      <c r="O16" s="156">
        <f t="shared" si="0"/>
        <v>1.3</v>
      </c>
      <c r="P16" s="156">
        <f t="shared" si="0"/>
        <v>1.4000000000000001</v>
      </c>
      <c r="Q16" s="156">
        <f t="shared" si="0"/>
        <v>1.5000000000000002</v>
      </c>
      <c r="R16" s="156">
        <f t="shared" si="0"/>
        <v>1.6000000000000003</v>
      </c>
      <c r="S16" s="156">
        <f t="shared" si="0"/>
        <v>1.7000000000000004</v>
      </c>
      <c r="T16" s="156">
        <f t="shared" si="0"/>
        <v>1.8000000000000005</v>
      </c>
      <c r="U16" s="156">
        <f t="shared" si="0"/>
        <v>1.9000000000000006</v>
      </c>
      <c r="V16" s="156">
        <f t="shared" si="0"/>
        <v>2.0000000000000004</v>
      </c>
      <c r="W16" s="156">
        <f t="shared" si="0"/>
        <v>2.1000000000000005</v>
      </c>
      <c r="X16" s="156">
        <f t="shared" si="0"/>
        <v>2.2000000000000006</v>
      </c>
      <c r="Y16" s="156">
        <f t="shared" si="0"/>
        <v>2.3000000000000007</v>
      </c>
      <c r="Z16" s="156">
        <f t="shared" si="0"/>
        <v>2.400000000000001</v>
      </c>
      <c r="AA16" s="156">
        <f t="shared" si="0"/>
        <v>2.500000000000001</v>
      </c>
      <c r="AB16" s="156">
        <f t="shared" si="0"/>
        <v>2.600000000000001</v>
      </c>
      <c r="AC16" s="156">
        <f t="shared" si="0"/>
        <v>2.700000000000001</v>
      </c>
      <c r="AD16" s="156">
        <f t="shared" si="0"/>
        <v>2.800000000000001</v>
      </c>
      <c r="AE16" s="156">
        <f t="shared" si="0"/>
        <v>2.9000000000000012</v>
      </c>
      <c r="AF16" s="156">
        <f t="shared" si="0"/>
        <v>3.0000000000000013</v>
      </c>
      <c r="AG16" s="156">
        <f t="shared" si="0"/>
        <v>3.1000000000000014</v>
      </c>
      <c r="AH16" s="156">
        <f t="shared" si="0"/>
        <v>3.2000000000000015</v>
      </c>
      <c r="AI16" s="156">
        <f t="shared" si="0"/>
        <v>3.3000000000000016</v>
      </c>
      <c r="AJ16" s="156">
        <f t="shared" si="0"/>
        <v>3.4000000000000017</v>
      </c>
      <c r="AK16" s="156">
        <f t="shared" si="0"/>
        <v>3.5000000000000018</v>
      </c>
      <c r="AL16" s="156">
        <f t="shared" si="0"/>
        <v>3.600000000000002</v>
      </c>
      <c r="AM16" s="156">
        <f t="shared" si="0"/>
        <v>3.700000000000002</v>
      </c>
      <c r="AN16" s="156">
        <f t="shared" si="0"/>
        <v>3.800000000000002</v>
      </c>
      <c r="AO16" s="156">
        <f t="shared" si="0"/>
        <v>3.900000000000002</v>
      </c>
      <c r="AP16" s="156">
        <f t="shared" si="0"/>
        <v>4.000000000000002</v>
      </c>
      <c r="AQ16" s="156">
        <f t="shared" si="0"/>
        <v>4.100000000000001</v>
      </c>
      <c r="AR16" s="156">
        <f t="shared" si="0"/>
        <v>4.200000000000001</v>
      </c>
      <c r="AS16" s="156">
        <f t="shared" si="0"/>
        <v>4.300000000000001</v>
      </c>
      <c r="AT16" s="156">
        <f t="shared" si="0"/>
        <v>4.4</v>
      </c>
      <c r="AU16" s="156">
        <f t="shared" si="0"/>
        <v>4.5</v>
      </c>
      <c r="AV16" s="156">
        <f t="shared" si="0"/>
        <v>4.6</v>
      </c>
      <c r="AW16" s="156">
        <f t="shared" si="0"/>
        <v>4.699999999999999</v>
      </c>
      <c r="AX16" s="156">
        <f t="shared" si="0"/>
        <v>4.799999999999999</v>
      </c>
      <c r="AY16" s="156">
        <f t="shared" si="0"/>
        <v>4.899999999999999</v>
      </c>
      <c r="AZ16" s="156">
        <f t="shared" si="0"/>
        <v>4.999999999999998</v>
      </c>
      <c r="BA16" s="156">
        <f t="shared" si="0"/>
        <v>5.099999999999998</v>
      </c>
      <c r="BB16" s="156">
        <f t="shared" si="0"/>
        <v>5.1999999999999975</v>
      </c>
      <c r="BC16" s="156">
        <f t="shared" si="0"/>
        <v>5.299999999999997</v>
      </c>
      <c r="BD16" s="156">
        <f t="shared" si="0"/>
        <v>5.399999999999997</v>
      </c>
      <c r="BE16" s="156">
        <f t="shared" si="0"/>
        <v>5.4999999999999964</v>
      </c>
      <c r="BF16" s="156">
        <f t="shared" si="0"/>
        <v>5.599999999999996</v>
      </c>
      <c r="BG16" s="156">
        <f t="shared" si="0"/>
        <v>5.699999999999996</v>
      </c>
      <c r="BH16" s="156">
        <f t="shared" si="0"/>
        <v>5.799999999999995</v>
      </c>
      <c r="BI16" s="156">
        <f t="shared" si="0"/>
        <v>5.899999999999995</v>
      </c>
      <c r="BJ16" s="156">
        <f t="shared" si="0"/>
        <v>5.999999999999995</v>
      </c>
      <c r="BK16" s="156">
        <f t="shared" si="0"/>
        <v>6.099999999999994</v>
      </c>
      <c r="BL16" s="156">
        <f t="shared" si="0"/>
        <v>6.199999999999994</v>
      </c>
      <c r="BM16" s="156">
        <f t="shared" si="0"/>
        <v>6.299999999999994</v>
      </c>
      <c r="BN16" s="156">
        <f t="shared" si="0"/>
        <v>6.399999999999993</v>
      </c>
      <c r="BO16" s="156">
        <f t="shared" si="0"/>
        <v>6.499999999999993</v>
      </c>
      <c r="BP16" s="156">
        <f aca="true" t="shared" si="1" ref="BP16:CX16">BO16+0.1</f>
        <v>6.5999999999999925</v>
      </c>
      <c r="BQ16" s="156">
        <f t="shared" si="1"/>
        <v>6.699999999999992</v>
      </c>
      <c r="BR16" s="156">
        <f t="shared" si="1"/>
        <v>6.799999999999992</v>
      </c>
      <c r="BS16" s="156">
        <f t="shared" si="1"/>
        <v>6.8999999999999915</v>
      </c>
      <c r="BT16" s="156">
        <f t="shared" si="1"/>
        <v>6.999999999999991</v>
      </c>
      <c r="BU16" s="156">
        <f t="shared" si="1"/>
        <v>7.099999999999991</v>
      </c>
      <c r="BV16" s="156">
        <f t="shared" si="1"/>
        <v>7.19999999999999</v>
      </c>
      <c r="BW16" s="156">
        <f t="shared" si="1"/>
        <v>7.29999999999999</v>
      </c>
      <c r="BX16" s="156">
        <f t="shared" si="1"/>
        <v>7.39999999999999</v>
      </c>
      <c r="BY16" s="156">
        <f t="shared" si="1"/>
        <v>7.499999999999989</v>
      </c>
      <c r="BZ16" s="156">
        <f t="shared" si="1"/>
        <v>7.599999999999989</v>
      </c>
      <c r="CA16" s="156">
        <f t="shared" si="1"/>
        <v>7.699999999999989</v>
      </c>
      <c r="CB16" s="156">
        <f t="shared" si="1"/>
        <v>7.799999999999988</v>
      </c>
      <c r="CC16" s="156">
        <f t="shared" si="1"/>
        <v>7.899999999999988</v>
      </c>
      <c r="CD16" s="156">
        <f t="shared" si="1"/>
        <v>7.999999999999988</v>
      </c>
      <c r="CE16" s="156">
        <f t="shared" si="1"/>
        <v>8.099999999999987</v>
      </c>
      <c r="CF16" s="156">
        <f t="shared" si="1"/>
        <v>8.199999999999987</v>
      </c>
      <c r="CG16" s="156">
        <f t="shared" si="1"/>
        <v>8.299999999999986</v>
      </c>
      <c r="CH16" s="156">
        <f t="shared" si="1"/>
        <v>8.399999999999986</v>
      </c>
      <c r="CI16" s="156">
        <f t="shared" si="1"/>
        <v>8.499999999999986</v>
      </c>
      <c r="CJ16" s="156">
        <f t="shared" si="1"/>
        <v>8.599999999999985</v>
      </c>
      <c r="CK16" s="156">
        <f t="shared" si="1"/>
        <v>8.699999999999985</v>
      </c>
      <c r="CL16" s="156">
        <f t="shared" si="1"/>
        <v>8.799999999999985</v>
      </c>
      <c r="CM16" s="156">
        <f t="shared" si="1"/>
        <v>8.899999999999984</v>
      </c>
      <c r="CN16" s="156">
        <f t="shared" si="1"/>
        <v>8.999999999999984</v>
      </c>
      <c r="CO16" s="156">
        <f t="shared" si="1"/>
        <v>9.099999999999984</v>
      </c>
      <c r="CP16" s="156">
        <f t="shared" si="1"/>
        <v>9.199999999999983</v>
      </c>
      <c r="CQ16" s="156">
        <f t="shared" si="1"/>
        <v>9.299999999999983</v>
      </c>
      <c r="CR16" s="156">
        <f t="shared" si="1"/>
        <v>9.399999999999983</v>
      </c>
      <c r="CS16" s="156">
        <f t="shared" si="1"/>
        <v>9.499999999999982</v>
      </c>
      <c r="CT16" s="156">
        <f t="shared" si="1"/>
        <v>9.599999999999982</v>
      </c>
      <c r="CU16" s="156">
        <f t="shared" si="1"/>
        <v>9.699999999999982</v>
      </c>
      <c r="CV16" s="156">
        <f t="shared" si="1"/>
        <v>9.799999999999981</v>
      </c>
      <c r="CW16" s="156">
        <f t="shared" si="1"/>
        <v>9.89999999999998</v>
      </c>
      <c r="CX16" s="156">
        <f t="shared" si="1"/>
        <v>9.99999999999998</v>
      </c>
      <c r="CY16" s="165">
        <f>Programa!G34</f>
        <v>2.5</v>
      </c>
    </row>
    <row r="18" spans="1:105" ht="11.25">
      <c r="A18" s="157" t="s">
        <v>145</v>
      </c>
      <c r="DA18" s="157" t="s">
        <v>145</v>
      </c>
    </row>
    <row r="20" spans="1:109" ht="11.25">
      <c r="A20" s="156" t="s">
        <v>317</v>
      </c>
      <c r="B20" s="156">
        <f>IF(B16&lt;$B$2,$B$3*$B$2*B16*($B$2-B16)/(2*$B$2),0)</f>
        <v>0</v>
      </c>
      <c r="C20" s="156">
        <f aca="true" t="shared" si="2" ref="C20:BN20">IF(C16&lt;$B$2,$B$3*$B$2*C16*($B$2-C16)/(2*$B$2),0)</f>
        <v>2.6136496875000006</v>
      </c>
      <c r="D20" s="156">
        <f t="shared" si="2"/>
        <v>5.131385625000001</v>
      </c>
      <c r="E20" s="156">
        <f t="shared" si="2"/>
        <v>7.553207812500003</v>
      </c>
      <c r="F20" s="156">
        <f t="shared" si="2"/>
        <v>9.879116250000001</v>
      </c>
      <c r="G20" s="156">
        <f t="shared" si="2"/>
        <v>12.1091109375</v>
      </c>
      <c r="H20" s="156">
        <f t="shared" si="2"/>
        <v>14.243191875</v>
      </c>
      <c r="I20" s="156">
        <f t="shared" si="2"/>
        <v>16.2813590625</v>
      </c>
      <c r="J20" s="156">
        <f t="shared" si="2"/>
        <v>18.223612499999998</v>
      </c>
      <c r="K20" s="156">
        <f t="shared" si="2"/>
        <v>20.0699521875</v>
      </c>
      <c r="L20" s="156">
        <f t="shared" si="2"/>
        <v>21.820378124999998</v>
      </c>
      <c r="M20" s="156">
        <f t="shared" si="2"/>
        <v>23.474890312499998</v>
      </c>
      <c r="N20" s="156">
        <f t="shared" si="2"/>
        <v>25.033488749999997</v>
      </c>
      <c r="O20" s="156">
        <f t="shared" si="2"/>
        <v>26.496173437500005</v>
      </c>
      <c r="P20" s="156">
        <f t="shared" si="2"/>
        <v>27.862944374999998</v>
      </c>
      <c r="Q20" s="156">
        <f t="shared" si="2"/>
        <v>29.133801562500008</v>
      </c>
      <c r="R20" s="156">
        <f t="shared" si="2"/>
        <v>30.308745000000002</v>
      </c>
      <c r="S20" s="156">
        <f t="shared" si="2"/>
        <v>31.387774687500006</v>
      </c>
      <c r="T20" s="156">
        <f t="shared" si="2"/>
        <v>32.37089062500001</v>
      </c>
      <c r="U20" s="156">
        <f t="shared" si="2"/>
        <v>33.25809281250001</v>
      </c>
      <c r="V20" s="156">
        <f t="shared" si="2"/>
        <v>34.04938125</v>
      </c>
      <c r="W20" s="156">
        <f t="shared" si="2"/>
        <v>34.7447559375</v>
      </c>
      <c r="X20" s="156">
        <f t="shared" si="2"/>
        <v>35.34421687500001</v>
      </c>
      <c r="Y20" s="156">
        <f t="shared" si="2"/>
        <v>35.847764062500005</v>
      </c>
      <c r="Z20" s="156">
        <f t="shared" si="2"/>
        <v>36.2553975</v>
      </c>
      <c r="AA20" s="156">
        <f t="shared" si="2"/>
        <v>36.5671171875</v>
      </c>
      <c r="AB20" s="156">
        <f t="shared" si="2"/>
        <v>36.782923124999996</v>
      </c>
      <c r="AC20" s="156">
        <f t="shared" si="2"/>
        <v>36.9028153125</v>
      </c>
      <c r="AD20" s="156">
        <f t="shared" si="2"/>
        <v>36.92679375</v>
      </c>
      <c r="AE20" s="156">
        <f t="shared" si="2"/>
        <v>36.8548584375</v>
      </c>
      <c r="AF20" s="156">
        <f t="shared" si="2"/>
        <v>36.687009374999995</v>
      </c>
      <c r="AG20" s="156">
        <f t="shared" si="2"/>
        <v>36.42324656249999</v>
      </c>
      <c r="AH20" s="156">
        <f t="shared" si="2"/>
        <v>36.06356999999999</v>
      </c>
      <c r="AI20" s="156">
        <f t="shared" si="2"/>
        <v>35.60797968749999</v>
      </c>
      <c r="AJ20" s="156">
        <f t="shared" si="2"/>
        <v>35.05647562499998</v>
      </c>
      <c r="AK20" s="156">
        <f t="shared" si="2"/>
        <v>34.40905781249999</v>
      </c>
      <c r="AL20" s="156">
        <f t="shared" si="2"/>
        <v>33.665726249999985</v>
      </c>
      <c r="AM20" s="156">
        <f t="shared" si="2"/>
        <v>32.82648093749999</v>
      </c>
      <c r="AN20" s="156">
        <f t="shared" si="2"/>
        <v>31.891321874999974</v>
      </c>
      <c r="AO20" s="156">
        <f t="shared" si="2"/>
        <v>30.860249062499978</v>
      </c>
      <c r="AP20" s="156">
        <f t="shared" si="2"/>
        <v>29.733262499999974</v>
      </c>
      <c r="AQ20" s="156">
        <f t="shared" si="2"/>
        <v>28.510362187499982</v>
      </c>
      <c r="AR20" s="156">
        <f t="shared" si="2"/>
        <v>27.191548124999983</v>
      </c>
      <c r="AS20" s="156">
        <f t="shared" si="2"/>
        <v>25.77682031249999</v>
      </c>
      <c r="AT20" s="156">
        <f t="shared" si="2"/>
        <v>24.266178749999995</v>
      </c>
      <c r="AU20" s="156">
        <f t="shared" si="2"/>
        <v>22.6596234375</v>
      </c>
      <c r="AV20" s="156">
        <f t="shared" si="2"/>
        <v>20.957154375000002</v>
      </c>
      <c r="AW20" s="156">
        <f t="shared" si="2"/>
        <v>19.15877156250001</v>
      </c>
      <c r="AX20" s="156">
        <f t="shared" si="2"/>
        <v>17.264475000000015</v>
      </c>
      <c r="AY20" s="156">
        <f t="shared" si="2"/>
        <v>15.274264687500025</v>
      </c>
      <c r="AZ20" s="156">
        <f t="shared" si="2"/>
        <v>13.188140625000035</v>
      </c>
      <c r="BA20" s="156">
        <f t="shared" si="2"/>
        <v>11.006102812500043</v>
      </c>
      <c r="BB20" s="156">
        <f t="shared" si="2"/>
        <v>8.728151250000053</v>
      </c>
      <c r="BC20" s="156">
        <f t="shared" si="2"/>
        <v>6.354285937500065</v>
      </c>
      <c r="BD20" s="156">
        <f t="shared" si="2"/>
        <v>3.8845068750000764</v>
      </c>
      <c r="BE20" s="156">
        <f t="shared" si="2"/>
        <v>1.3188140625000881</v>
      </c>
      <c r="BF20" s="156">
        <f t="shared" si="2"/>
        <v>0</v>
      </c>
      <c r="BG20" s="156">
        <f t="shared" si="2"/>
        <v>0</v>
      </c>
      <c r="BH20" s="156">
        <f t="shared" si="2"/>
        <v>0</v>
      </c>
      <c r="BI20" s="156">
        <f t="shared" si="2"/>
        <v>0</v>
      </c>
      <c r="BJ20" s="156">
        <f t="shared" si="2"/>
        <v>0</v>
      </c>
      <c r="BK20" s="156">
        <f t="shared" si="2"/>
        <v>0</v>
      </c>
      <c r="BL20" s="156">
        <f t="shared" si="2"/>
        <v>0</v>
      </c>
      <c r="BM20" s="156">
        <f t="shared" si="2"/>
        <v>0</v>
      </c>
      <c r="BN20" s="156">
        <f t="shared" si="2"/>
        <v>0</v>
      </c>
      <c r="BO20" s="156">
        <f aca="true" t="shared" si="3" ref="BO20:CX20">IF(BO16&lt;$B$2,$B$3*$B$2*BO16*($B$2-BO16)/(2*$B$2),0)</f>
        <v>0</v>
      </c>
      <c r="BP20" s="156">
        <f t="shared" si="3"/>
        <v>0</v>
      </c>
      <c r="BQ20" s="156">
        <f t="shared" si="3"/>
        <v>0</v>
      </c>
      <c r="BR20" s="156">
        <f t="shared" si="3"/>
        <v>0</v>
      </c>
      <c r="BS20" s="156">
        <f t="shared" si="3"/>
        <v>0</v>
      </c>
      <c r="BT20" s="156">
        <f t="shared" si="3"/>
        <v>0</v>
      </c>
      <c r="BU20" s="156">
        <f t="shared" si="3"/>
        <v>0</v>
      </c>
      <c r="BV20" s="156">
        <f t="shared" si="3"/>
        <v>0</v>
      </c>
      <c r="BW20" s="156">
        <f t="shared" si="3"/>
        <v>0</v>
      </c>
      <c r="BX20" s="156">
        <f t="shared" si="3"/>
        <v>0</v>
      </c>
      <c r="BY20" s="156">
        <f t="shared" si="3"/>
        <v>0</v>
      </c>
      <c r="BZ20" s="156">
        <f t="shared" si="3"/>
        <v>0</v>
      </c>
      <c r="CA20" s="156">
        <f t="shared" si="3"/>
        <v>0</v>
      </c>
      <c r="CB20" s="156">
        <f t="shared" si="3"/>
        <v>0</v>
      </c>
      <c r="CC20" s="156">
        <f t="shared" si="3"/>
        <v>0</v>
      </c>
      <c r="CD20" s="156">
        <f t="shared" si="3"/>
        <v>0</v>
      </c>
      <c r="CE20" s="156">
        <f t="shared" si="3"/>
        <v>0</v>
      </c>
      <c r="CF20" s="156">
        <f t="shared" si="3"/>
        <v>0</v>
      </c>
      <c r="CG20" s="156">
        <f t="shared" si="3"/>
        <v>0</v>
      </c>
      <c r="CH20" s="156">
        <f t="shared" si="3"/>
        <v>0</v>
      </c>
      <c r="CI20" s="156">
        <f t="shared" si="3"/>
        <v>0</v>
      </c>
      <c r="CJ20" s="156">
        <f t="shared" si="3"/>
        <v>0</v>
      </c>
      <c r="CK20" s="156">
        <f t="shared" si="3"/>
        <v>0</v>
      </c>
      <c r="CL20" s="156">
        <f t="shared" si="3"/>
        <v>0</v>
      </c>
      <c r="CM20" s="156">
        <f t="shared" si="3"/>
        <v>0</v>
      </c>
      <c r="CN20" s="156">
        <f t="shared" si="3"/>
        <v>0</v>
      </c>
      <c r="CO20" s="156">
        <f t="shared" si="3"/>
        <v>0</v>
      </c>
      <c r="CP20" s="156">
        <f t="shared" si="3"/>
        <v>0</v>
      </c>
      <c r="CQ20" s="156">
        <f t="shared" si="3"/>
        <v>0</v>
      </c>
      <c r="CR20" s="156">
        <f t="shared" si="3"/>
        <v>0</v>
      </c>
      <c r="CS20" s="156">
        <f t="shared" si="3"/>
        <v>0</v>
      </c>
      <c r="CT20" s="156">
        <f t="shared" si="3"/>
        <v>0</v>
      </c>
      <c r="CU20" s="156">
        <f t="shared" si="3"/>
        <v>0</v>
      </c>
      <c r="CV20" s="156">
        <f t="shared" si="3"/>
        <v>0</v>
      </c>
      <c r="CW20" s="156">
        <f t="shared" si="3"/>
        <v>0</v>
      </c>
      <c r="CX20" s="156">
        <f t="shared" si="3"/>
        <v>0</v>
      </c>
      <c r="CY20" s="156">
        <f>IF(CY16&lt;$B$2,$B$3*$B$2*CY16*($B$2-CY16)/(2*$B$2),0)</f>
        <v>36.567117187499996</v>
      </c>
      <c r="DA20" s="156">
        <f>MAX(B20:CY20)</f>
        <v>36.92679375</v>
      </c>
      <c r="DB20" s="156">
        <f>MIN(B20:CY20)</f>
        <v>0</v>
      </c>
      <c r="DC20" s="156">
        <f>ABS(DB20)</f>
        <v>0</v>
      </c>
      <c r="DE20" s="156">
        <f>MAX(DA20,DC20)</f>
        <v>36.92679375</v>
      </c>
    </row>
    <row r="21" spans="1:109" ht="11.25">
      <c r="A21" s="156" t="s">
        <v>318</v>
      </c>
      <c r="B21" s="156">
        <f>IF(B16&gt;$B$2,0,IF(B16&lt;=$B$5,$B$4*$B$6*B16/$B$2,$B$4*$B$5*($B$2-B16)/$B$2))</f>
        <v>0</v>
      </c>
      <c r="C21" s="156">
        <f aca="true" t="shared" si="4" ref="C21:BN21">IF(C16&gt;$B$2,0,IF(C16&lt;=$B$5,$B$4*$B$6*C16/$B$2,$B$4*$B$5*($B$2-C16)/$B$2))</f>
        <v>0</v>
      </c>
      <c r="D21" s="156">
        <f t="shared" si="4"/>
        <v>0</v>
      </c>
      <c r="E21" s="156">
        <f t="shared" si="4"/>
        <v>0</v>
      </c>
      <c r="F21" s="156">
        <f t="shared" si="4"/>
        <v>0</v>
      </c>
      <c r="G21" s="156">
        <f t="shared" si="4"/>
        <v>0</v>
      </c>
      <c r="H21" s="156">
        <f t="shared" si="4"/>
        <v>0</v>
      </c>
      <c r="I21" s="156">
        <f t="shared" si="4"/>
        <v>0</v>
      </c>
      <c r="J21" s="156">
        <f t="shared" si="4"/>
        <v>0</v>
      </c>
      <c r="K21" s="156">
        <f t="shared" si="4"/>
        <v>0</v>
      </c>
      <c r="L21" s="156">
        <f t="shared" si="4"/>
        <v>0</v>
      </c>
      <c r="M21" s="156">
        <f t="shared" si="4"/>
        <v>0</v>
      </c>
      <c r="N21" s="156">
        <f t="shared" si="4"/>
        <v>0</v>
      </c>
      <c r="O21" s="156">
        <f t="shared" si="4"/>
        <v>0</v>
      </c>
      <c r="P21" s="156">
        <f t="shared" si="4"/>
        <v>0</v>
      </c>
      <c r="Q21" s="156">
        <f t="shared" si="4"/>
        <v>0</v>
      </c>
      <c r="R21" s="156">
        <f t="shared" si="4"/>
        <v>0</v>
      </c>
      <c r="S21" s="156">
        <f t="shared" si="4"/>
        <v>0</v>
      </c>
      <c r="T21" s="156">
        <f t="shared" si="4"/>
        <v>0</v>
      </c>
      <c r="U21" s="156">
        <f t="shared" si="4"/>
        <v>0</v>
      </c>
      <c r="V21" s="156">
        <f t="shared" si="4"/>
        <v>0</v>
      </c>
      <c r="W21" s="156">
        <f t="shared" si="4"/>
        <v>0</v>
      </c>
      <c r="X21" s="156">
        <f t="shared" si="4"/>
        <v>0</v>
      </c>
      <c r="Y21" s="156">
        <f t="shared" si="4"/>
        <v>0</v>
      </c>
      <c r="Z21" s="156">
        <f t="shared" si="4"/>
        <v>0</v>
      </c>
      <c r="AA21" s="156">
        <f t="shared" si="4"/>
        <v>0</v>
      </c>
      <c r="AB21" s="156">
        <f t="shared" si="4"/>
        <v>0</v>
      </c>
      <c r="AC21" s="156">
        <f t="shared" si="4"/>
        <v>0</v>
      </c>
      <c r="AD21" s="156">
        <f t="shared" si="4"/>
        <v>0</v>
      </c>
      <c r="AE21" s="156">
        <f t="shared" si="4"/>
        <v>0</v>
      </c>
      <c r="AF21" s="156">
        <f t="shared" si="4"/>
        <v>0</v>
      </c>
      <c r="AG21" s="156">
        <f t="shared" si="4"/>
        <v>0</v>
      </c>
      <c r="AH21" s="156">
        <f t="shared" si="4"/>
        <v>0</v>
      </c>
      <c r="AI21" s="156">
        <f t="shared" si="4"/>
        <v>0</v>
      </c>
      <c r="AJ21" s="156">
        <f t="shared" si="4"/>
        <v>0</v>
      </c>
      <c r="AK21" s="156">
        <f t="shared" si="4"/>
        <v>0</v>
      </c>
      <c r="AL21" s="156">
        <f t="shared" si="4"/>
        <v>0</v>
      </c>
      <c r="AM21" s="156">
        <f t="shared" si="4"/>
        <v>0</v>
      </c>
      <c r="AN21" s="156">
        <f t="shared" si="4"/>
        <v>0</v>
      </c>
      <c r="AO21" s="156">
        <f t="shared" si="4"/>
        <v>0</v>
      </c>
      <c r="AP21" s="156">
        <f t="shared" si="4"/>
        <v>0</v>
      </c>
      <c r="AQ21" s="156">
        <f t="shared" si="4"/>
        <v>0</v>
      </c>
      <c r="AR21" s="156">
        <f t="shared" si="4"/>
        <v>0</v>
      </c>
      <c r="AS21" s="156">
        <f t="shared" si="4"/>
        <v>0</v>
      </c>
      <c r="AT21" s="156">
        <f t="shared" si="4"/>
        <v>0</v>
      </c>
      <c r="AU21" s="156">
        <f t="shared" si="4"/>
        <v>0</v>
      </c>
      <c r="AV21" s="156">
        <f t="shared" si="4"/>
        <v>0</v>
      </c>
      <c r="AW21" s="156">
        <f t="shared" si="4"/>
        <v>0</v>
      </c>
      <c r="AX21" s="156">
        <f t="shared" si="4"/>
        <v>0</v>
      </c>
      <c r="AY21" s="156">
        <f t="shared" si="4"/>
        <v>0</v>
      </c>
      <c r="AZ21" s="156">
        <f t="shared" si="4"/>
        <v>0</v>
      </c>
      <c r="BA21" s="156">
        <f t="shared" si="4"/>
        <v>0</v>
      </c>
      <c r="BB21" s="156">
        <f t="shared" si="4"/>
        <v>0</v>
      </c>
      <c r="BC21" s="156">
        <f t="shared" si="4"/>
        <v>0</v>
      </c>
      <c r="BD21" s="156">
        <f t="shared" si="4"/>
        <v>0</v>
      </c>
      <c r="BE21" s="156">
        <f t="shared" si="4"/>
        <v>0</v>
      </c>
      <c r="BF21" s="156">
        <f t="shared" si="4"/>
        <v>0</v>
      </c>
      <c r="BG21" s="156">
        <f t="shared" si="4"/>
        <v>0</v>
      </c>
      <c r="BH21" s="156">
        <f t="shared" si="4"/>
        <v>0</v>
      </c>
      <c r="BI21" s="156">
        <f t="shared" si="4"/>
        <v>0</v>
      </c>
      <c r="BJ21" s="156">
        <f t="shared" si="4"/>
        <v>0</v>
      </c>
      <c r="BK21" s="156">
        <f t="shared" si="4"/>
        <v>0</v>
      </c>
      <c r="BL21" s="156">
        <f t="shared" si="4"/>
        <v>0</v>
      </c>
      <c r="BM21" s="156">
        <f t="shared" si="4"/>
        <v>0</v>
      </c>
      <c r="BN21" s="156">
        <f t="shared" si="4"/>
        <v>0</v>
      </c>
      <c r="BO21" s="156">
        <f aca="true" t="shared" si="5" ref="BO21:CY21">IF(BO16&gt;$B$2,0,IF(BO16&lt;=$B$5,$B$4*$B$6*BO16/$B$2,$B$4*$B$5*($B$2-BO16)/$B$2))</f>
        <v>0</v>
      </c>
      <c r="BP21" s="156">
        <f t="shared" si="5"/>
        <v>0</v>
      </c>
      <c r="BQ21" s="156">
        <f t="shared" si="5"/>
        <v>0</v>
      </c>
      <c r="BR21" s="156">
        <f t="shared" si="5"/>
        <v>0</v>
      </c>
      <c r="BS21" s="156">
        <f t="shared" si="5"/>
        <v>0</v>
      </c>
      <c r="BT21" s="156">
        <f t="shared" si="5"/>
        <v>0</v>
      </c>
      <c r="BU21" s="156">
        <f t="shared" si="5"/>
        <v>0</v>
      </c>
      <c r="BV21" s="156">
        <f t="shared" si="5"/>
        <v>0</v>
      </c>
      <c r="BW21" s="156">
        <f t="shared" si="5"/>
        <v>0</v>
      </c>
      <c r="BX21" s="156">
        <f t="shared" si="5"/>
        <v>0</v>
      </c>
      <c r="BY21" s="156">
        <f t="shared" si="5"/>
        <v>0</v>
      </c>
      <c r="BZ21" s="156">
        <f t="shared" si="5"/>
        <v>0</v>
      </c>
      <c r="CA21" s="156">
        <f t="shared" si="5"/>
        <v>0</v>
      </c>
      <c r="CB21" s="156">
        <f t="shared" si="5"/>
        <v>0</v>
      </c>
      <c r="CC21" s="156">
        <f t="shared" si="5"/>
        <v>0</v>
      </c>
      <c r="CD21" s="156">
        <f t="shared" si="5"/>
        <v>0</v>
      </c>
      <c r="CE21" s="156">
        <f t="shared" si="5"/>
        <v>0</v>
      </c>
      <c r="CF21" s="156">
        <f t="shared" si="5"/>
        <v>0</v>
      </c>
      <c r="CG21" s="156">
        <f t="shared" si="5"/>
        <v>0</v>
      </c>
      <c r="CH21" s="156">
        <f t="shared" si="5"/>
        <v>0</v>
      </c>
      <c r="CI21" s="156">
        <f t="shared" si="5"/>
        <v>0</v>
      </c>
      <c r="CJ21" s="156">
        <f t="shared" si="5"/>
        <v>0</v>
      </c>
      <c r="CK21" s="156">
        <f t="shared" si="5"/>
        <v>0</v>
      </c>
      <c r="CL21" s="156">
        <f t="shared" si="5"/>
        <v>0</v>
      </c>
      <c r="CM21" s="156">
        <f t="shared" si="5"/>
        <v>0</v>
      </c>
      <c r="CN21" s="156">
        <f t="shared" si="5"/>
        <v>0</v>
      </c>
      <c r="CO21" s="156">
        <f t="shared" si="5"/>
        <v>0</v>
      </c>
      <c r="CP21" s="156">
        <f t="shared" si="5"/>
        <v>0</v>
      </c>
      <c r="CQ21" s="156">
        <f t="shared" si="5"/>
        <v>0</v>
      </c>
      <c r="CR21" s="156">
        <f t="shared" si="5"/>
        <v>0</v>
      </c>
      <c r="CS21" s="156">
        <f t="shared" si="5"/>
        <v>0</v>
      </c>
      <c r="CT21" s="156">
        <f t="shared" si="5"/>
        <v>0</v>
      </c>
      <c r="CU21" s="156">
        <f t="shared" si="5"/>
        <v>0</v>
      </c>
      <c r="CV21" s="156">
        <f t="shared" si="5"/>
        <v>0</v>
      </c>
      <c r="CW21" s="156">
        <f t="shared" si="5"/>
        <v>0</v>
      </c>
      <c r="CX21" s="156">
        <f t="shared" si="5"/>
        <v>0</v>
      </c>
      <c r="CY21" s="156">
        <f t="shared" si="5"/>
        <v>0</v>
      </c>
      <c r="DA21" s="156">
        <f>MAX(B21:CY21)</f>
        <v>0</v>
      </c>
      <c r="DB21" s="156">
        <f>MIN(B21:CY21)</f>
        <v>0</v>
      </c>
      <c r="DC21" s="156">
        <f>ABS(DB21)</f>
        <v>0</v>
      </c>
      <c r="DE21" s="156">
        <f>MAX(DA21,DC21)</f>
        <v>0</v>
      </c>
    </row>
    <row r="22" spans="1:109" ht="11.25">
      <c r="A22" s="156" t="s">
        <v>75</v>
      </c>
      <c r="B22" s="156">
        <f>B20+B21</f>
        <v>0</v>
      </c>
      <c r="C22" s="156">
        <f aca="true" t="shared" si="6" ref="C22:BN22">C20+C21</f>
        <v>2.6136496875000006</v>
      </c>
      <c r="D22" s="156">
        <f t="shared" si="6"/>
        <v>5.131385625000001</v>
      </c>
      <c r="E22" s="156">
        <f t="shared" si="6"/>
        <v>7.553207812500003</v>
      </c>
      <c r="F22" s="156">
        <f t="shared" si="6"/>
        <v>9.879116250000001</v>
      </c>
      <c r="G22" s="156">
        <f t="shared" si="6"/>
        <v>12.1091109375</v>
      </c>
      <c r="H22" s="156">
        <f t="shared" si="6"/>
        <v>14.243191875</v>
      </c>
      <c r="I22" s="156">
        <f t="shared" si="6"/>
        <v>16.2813590625</v>
      </c>
      <c r="J22" s="156">
        <f t="shared" si="6"/>
        <v>18.223612499999998</v>
      </c>
      <c r="K22" s="156">
        <f t="shared" si="6"/>
        <v>20.0699521875</v>
      </c>
      <c r="L22" s="156">
        <f t="shared" si="6"/>
        <v>21.820378124999998</v>
      </c>
      <c r="M22" s="156">
        <f t="shared" si="6"/>
        <v>23.474890312499998</v>
      </c>
      <c r="N22" s="156">
        <f t="shared" si="6"/>
        <v>25.033488749999997</v>
      </c>
      <c r="O22" s="156">
        <f t="shared" si="6"/>
        <v>26.496173437500005</v>
      </c>
      <c r="P22" s="156">
        <f t="shared" si="6"/>
        <v>27.862944374999998</v>
      </c>
      <c r="Q22" s="156">
        <f t="shared" si="6"/>
        <v>29.133801562500008</v>
      </c>
      <c r="R22" s="156">
        <f t="shared" si="6"/>
        <v>30.308745000000002</v>
      </c>
      <c r="S22" s="156">
        <f t="shared" si="6"/>
        <v>31.387774687500006</v>
      </c>
      <c r="T22" s="156">
        <f t="shared" si="6"/>
        <v>32.37089062500001</v>
      </c>
      <c r="U22" s="156">
        <f t="shared" si="6"/>
        <v>33.25809281250001</v>
      </c>
      <c r="V22" s="156">
        <f t="shared" si="6"/>
        <v>34.04938125</v>
      </c>
      <c r="W22" s="156">
        <f t="shared" si="6"/>
        <v>34.7447559375</v>
      </c>
      <c r="X22" s="156">
        <f t="shared" si="6"/>
        <v>35.34421687500001</v>
      </c>
      <c r="Y22" s="156">
        <f t="shared" si="6"/>
        <v>35.847764062500005</v>
      </c>
      <c r="Z22" s="156">
        <f t="shared" si="6"/>
        <v>36.2553975</v>
      </c>
      <c r="AA22" s="156">
        <f t="shared" si="6"/>
        <v>36.5671171875</v>
      </c>
      <c r="AB22" s="156">
        <f t="shared" si="6"/>
        <v>36.782923124999996</v>
      </c>
      <c r="AC22" s="156">
        <f t="shared" si="6"/>
        <v>36.9028153125</v>
      </c>
      <c r="AD22" s="156">
        <f t="shared" si="6"/>
        <v>36.92679375</v>
      </c>
      <c r="AE22" s="156">
        <f t="shared" si="6"/>
        <v>36.8548584375</v>
      </c>
      <c r="AF22" s="156">
        <f t="shared" si="6"/>
        <v>36.687009374999995</v>
      </c>
      <c r="AG22" s="156">
        <f t="shared" si="6"/>
        <v>36.42324656249999</v>
      </c>
      <c r="AH22" s="156">
        <f t="shared" si="6"/>
        <v>36.06356999999999</v>
      </c>
      <c r="AI22" s="156">
        <f t="shared" si="6"/>
        <v>35.60797968749999</v>
      </c>
      <c r="AJ22" s="156">
        <f t="shared" si="6"/>
        <v>35.05647562499998</v>
      </c>
      <c r="AK22" s="156">
        <f t="shared" si="6"/>
        <v>34.40905781249999</v>
      </c>
      <c r="AL22" s="156">
        <f t="shared" si="6"/>
        <v>33.665726249999985</v>
      </c>
      <c r="AM22" s="156">
        <f t="shared" si="6"/>
        <v>32.82648093749999</v>
      </c>
      <c r="AN22" s="156">
        <f t="shared" si="6"/>
        <v>31.891321874999974</v>
      </c>
      <c r="AO22" s="156">
        <f t="shared" si="6"/>
        <v>30.860249062499978</v>
      </c>
      <c r="AP22" s="156">
        <f t="shared" si="6"/>
        <v>29.733262499999974</v>
      </c>
      <c r="AQ22" s="156">
        <f t="shared" si="6"/>
        <v>28.510362187499982</v>
      </c>
      <c r="AR22" s="156">
        <f t="shared" si="6"/>
        <v>27.191548124999983</v>
      </c>
      <c r="AS22" s="156">
        <f t="shared" si="6"/>
        <v>25.77682031249999</v>
      </c>
      <c r="AT22" s="156">
        <f t="shared" si="6"/>
        <v>24.266178749999995</v>
      </c>
      <c r="AU22" s="156">
        <f t="shared" si="6"/>
        <v>22.6596234375</v>
      </c>
      <c r="AV22" s="156">
        <f t="shared" si="6"/>
        <v>20.957154375000002</v>
      </c>
      <c r="AW22" s="156">
        <f t="shared" si="6"/>
        <v>19.15877156250001</v>
      </c>
      <c r="AX22" s="156">
        <f t="shared" si="6"/>
        <v>17.264475000000015</v>
      </c>
      <c r="AY22" s="156">
        <f t="shared" si="6"/>
        <v>15.274264687500025</v>
      </c>
      <c r="AZ22" s="156">
        <f t="shared" si="6"/>
        <v>13.188140625000035</v>
      </c>
      <c r="BA22" s="156">
        <f t="shared" si="6"/>
        <v>11.006102812500043</v>
      </c>
      <c r="BB22" s="156">
        <f t="shared" si="6"/>
        <v>8.728151250000053</v>
      </c>
      <c r="BC22" s="156">
        <f t="shared" si="6"/>
        <v>6.354285937500065</v>
      </c>
      <c r="BD22" s="156">
        <f t="shared" si="6"/>
        <v>3.8845068750000764</v>
      </c>
      <c r="BE22" s="156">
        <f t="shared" si="6"/>
        <v>1.3188140625000881</v>
      </c>
      <c r="BF22" s="156">
        <f t="shared" si="6"/>
        <v>0</v>
      </c>
      <c r="BG22" s="156">
        <f t="shared" si="6"/>
        <v>0</v>
      </c>
      <c r="BH22" s="156">
        <f t="shared" si="6"/>
        <v>0</v>
      </c>
      <c r="BI22" s="156">
        <f t="shared" si="6"/>
        <v>0</v>
      </c>
      <c r="BJ22" s="156">
        <f t="shared" si="6"/>
        <v>0</v>
      </c>
      <c r="BK22" s="156">
        <f t="shared" si="6"/>
        <v>0</v>
      </c>
      <c r="BL22" s="156">
        <f t="shared" si="6"/>
        <v>0</v>
      </c>
      <c r="BM22" s="156">
        <f t="shared" si="6"/>
        <v>0</v>
      </c>
      <c r="BN22" s="156">
        <f t="shared" si="6"/>
        <v>0</v>
      </c>
      <c r="BO22" s="156">
        <f aca="true" t="shared" si="7" ref="BO22:CY22">BO20+BO21</f>
        <v>0</v>
      </c>
      <c r="BP22" s="156">
        <f t="shared" si="7"/>
        <v>0</v>
      </c>
      <c r="BQ22" s="156">
        <f t="shared" si="7"/>
        <v>0</v>
      </c>
      <c r="BR22" s="156">
        <f t="shared" si="7"/>
        <v>0</v>
      </c>
      <c r="BS22" s="156">
        <f t="shared" si="7"/>
        <v>0</v>
      </c>
      <c r="BT22" s="156">
        <f t="shared" si="7"/>
        <v>0</v>
      </c>
      <c r="BU22" s="156">
        <f t="shared" si="7"/>
        <v>0</v>
      </c>
      <c r="BV22" s="156">
        <f t="shared" si="7"/>
        <v>0</v>
      </c>
      <c r="BW22" s="156">
        <f t="shared" si="7"/>
        <v>0</v>
      </c>
      <c r="BX22" s="156">
        <f t="shared" si="7"/>
        <v>0</v>
      </c>
      <c r="BY22" s="156">
        <f t="shared" si="7"/>
        <v>0</v>
      </c>
      <c r="BZ22" s="156">
        <f t="shared" si="7"/>
        <v>0</v>
      </c>
      <c r="CA22" s="156">
        <f t="shared" si="7"/>
        <v>0</v>
      </c>
      <c r="CB22" s="156">
        <f t="shared" si="7"/>
        <v>0</v>
      </c>
      <c r="CC22" s="156">
        <f t="shared" si="7"/>
        <v>0</v>
      </c>
      <c r="CD22" s="156">
        <f t="shared" si="7"/>
        <v>0</v>
      </c>
      <c r="CE22" s="156">
        <f t="shared" si="7"/>
        <v>0</v>
      </c>
      <c r="CF22" s="156">
        <f t="shared" si="7"/>
        <v>0</v>
      </c>
      <c r="CG22" s="156">
        <f t="shared" si="7"/>
        <v>0</v>
      </c>
      <c r="CH22" s="156">
        <f t="shared" si="7"/>
        <v>0</v>
      </c>
      <c r="CI22" s="156">
        <f t="shared" si="7"/>
        <v>0</v>
      </c>
      <c r="CJ22" s="156">
        <f t="shared" si="7"/>
        <v>0</v>
      </c>
      <c r="CK22" s="156">
        <f t="shared" si="7"/>
        <v>0</v>
      </c>
      <c r="CL22" s="156">
        <f t="shared" si="7"/>
        <v>0</v>
      </c>
      <c r="CM22" s="156">
        <f t="shared" si="7"/>
        <v>0</v>
      </c>
      <c r="CN22" s="156">
        <f t="shared" si="7"/>
        <v>0</v>
      </c>
      <c r="CO22" s="156">
        <f t="shared" si="7"/>
        <v>0</v>
      </c>
      <c r="CP22" s="156">
        <f t="shared" si="7"/>
        <v>0</v>
      </c>
      <c r="CQ22" s="156">
        <f t="shared" si="7"/>
        <v>0</v>
      </c>
      <c r="CR22" s="156">
        <f t="shared" si="7"/>
        <v>0</v>
      </c>
      <c r="CS22" s="156">
        <f t="shared" si="7"/>
        <v>0</v>
      </c>
      <c r="CT22" s="156">
        <f t="shared" si="7"/>
        <v>0</v>
      </c>
      <c r="CU22" s="156">
        <f t="shared" si="7"/>
        <v>0</v>
      </c>
      <c r="CV22" s="156">
        <f t="shared" si="7"/>
        <v>0</v>
      </c>
      <c r="CW22" s="156">
        <f t="shared" si="7"/>
        <v>0</v>
      </c>
      <c r="CX22" s="156">
        <f t="shared" si="7"/>
        <v>0</v>
      </c>
      <c r="CY22" s="156">
        <f t="shared" si="7"/>
        <v>36.567117187499996</v>
      </c>
      <c r="DA22" s="156">
        <f>MAX(B22:CY22)</f>
        <v>36.92679375</v>
      </c>
      <c r="DB22" s="156">
        <f>MIN(B22:CY22)</f>
        <v>0</v>
      </c>
      <c r="DC22" s="156">
        <f>ABS(DB22)</f>
        <v>0</v>
      </c>
      <c r="DE22" s="156">
        <f>MAX(DA22,DC22)</f>
        <v>36.92679375</v>
      </c>
    </row>
    <row r="23" ht="11.25">
      <c r="CY23" s="156"/>
    </row>
    <row r="24" spans="1:109" ht="11.25">
      <c r="A24" s="156" t="s">
        <v>324</v>
      </c>
      <c r="B24" s="156">
        <f>IF(B16&lt;=$B$2,$B$3*($B$2-2*B16)/(2*$B$2),0)</f>
        <v>4.7956875000000005</v>
      </c>
      <c r="C24" s="156">
        <f aca="true" t="shared" si="8" ref="C24:BN24">IF(C16&lt;=$B$2,$B$3*($B$2-2*C16)/(2*$B$2),0)</f>
        <v>4.622869932432432</v>
      </c>
      <c r="D24" s="156">
        <f t="shared" si="8"/>
        <v>4.450052364864865</v>
      </c>
      <c r="E24" s="156">
        <f t="shared" si="8"/>
        <v>4.2772347972972975</v>
      </c>
      <c r="F24" s="156">
        <f t="shared" si="8"/>
        <v>4.10441722972973</v>
      </c>
      <c r="G24" s="156">
        <f t="shared" si="8"/>
        <v>3.9315996621621627</v>
      </c>
      <c r="H24" s="156">
        <f t="shared" si="8"/>
        <v>3.758782094594595</v>
      </c>
      <c r="I24" s="156">
        <f t="shared" si="8"/>
        <v>3.585964527027028</v>
      </c>
      <c r="J24" s="156">
        <f t="shared" si="8"/>
        <v>3.41314695945946</v>
      </c>
      <c r="K24" s="156">
        <f t="shared" si="8"/>
        <v>3.2403293918918923</v>
      </c>
      <c r="L24" s="156">
        <f t="shared" si="8"/>
        <v>3.067511824324325</v>
      </c>
      <c r="M24" s="156">
        <f t="shared" si="8"/>
        <v>2.894694256756757</v>
      </c>
      <c r="N24" s="156">
        <f t="shared" si="8"/>
        <v>2.7218766891891897</v>
      </c>
      <c r="O24" s="156">
        <f t="shared" si="8"/>
        <v>2.549059121621622</v>
      </c>
      <c r="P24" s="156">
        <f t="shared" si="8"/>
        <v>2.376241554054054</v>
      </c>
      <c r="Q24" s="156">
        <f t="shared" si="8"/>
        <v>2.203423986486486</v>
      </c>
      <c r="R24" s="156">
        <f t="shared" si="8"/>
        <v>2.030606418918919</v>
      </c>
      <c r="S24" s="156">
        <f t="shared" si="8"/>
        <v>1.857788851351351</v>
      </c>
      <c r="T24" s="156">
        <f t="shared" si="8"/>
        <v>1.684971283783783</v>
      </c>
      <c r="U24" s="156">
        <f t="shared" si="8"/>
        <v>1.5121537162162153</v>
      </c>
      <c r="V24" s="156">
        <f t="shared" si="8"/>
        <v>1.339336148648648</v>
      </c>
      <c r="W24" s="156">
        <f t="shared" si="8"/>
        <v>1.16651858108108</v>
      </c>
      <c r="X24" s="156">
        <f t="shared" si="8"/>
        <v>0.9937010135135125</v>
      </c>
      <c r="Y24" s="156">
        <f t="shared" si="8"/>
        <v>0.8208834459459448</v>
      </c>
      <c r="Z24" s="156">
        <f t="shared" si="8"/>
        <v>0.6480658783783769</v>
      </c>
      <c r="AA24" s="156">
        <f t="shared" si="8"/>
        <v>0.4752483108108092</v>
      </c>
      <c r="AB24" s="156">
        <f t="shared" si="8"/>
        <v>0.30243074324324143</v>
      </c>
      <c r="AC24" s="156">
        <f t="shared" si="8"/>
        <v>0.1296131756756737</v>
      </c>
      <c r="AD24" s="156">
        <f t="shared" si="8"/>
        <v>-0.043204391891894046</v>
      </c>
      <c r="AE24" s="156">
        <f t="shared" si="8"/>
        <v>-0.21602195945946182</v>
      </c>
      <c r="AF24" s="156">
        <f t="shared" si="8"/>
        <v>-0.38883952702702956</v>
      </c>
      <c r="AG24" s="156">
        <f t="shared" si="8"/>
        <v>-0.5616570945945973</v>
      </c>
      <c r="AH24" s="156">
        <f t="shared" si="8"/>
        <v>-0.7344746621621651</v>
      </c>
      <c r="AI24" s="156">
        <f t="shared" si="8"/>
        <v>-0.9072922297297328</v>
      </c>
      <c r="AJ24" s="156">
        <f t="shared" si="8"/>
        <v>-1.0801097972973004</v>
      </c>
      <c r="AK24" s="156">
        <f t="shared" si="8"/>
        <v>-1.2529273648648682</v>
      </c>
      <c r="AL24" s="156">
        <f t="shared" si="8"/>
        <v>-1.425744932432436</v>
      </c>
      <c r="AM24" s="156">
        <f t="shared" si="8"/>
        <v>-1.5985625000000039</v>
      </c>
      <c r="AN24" s="156">
        <f t="shared" si="8"/>
        <v>-1.7713800675675715</v>
      </c>
      <c r="AO24" s="156">
        <f t="shared" si="8"/>
        <v>-1.9441976351351393</v>
      </c>
      <c r="AP24" s="156">
        <f t="shared" si="8"/>
        <v>-2.1170152027027065</v>
      </c>
      <c r="AQ24" s="156">
        <f t="shared" si="8"/>
        <v>-2.2898327702702734</v>
      </c>
      <c r="AR24" s="156">
        <f t="shared" si="8"/>
        <v>-2.46265033783784</v>
      </c>
      <c r="AS24" s="156">
        <f t="shared" si="8"/>
        <v>-2.635467905405407</v>
      </c>
      <c r="AT24" s="156">
        <f t="shared" si="8"/>
        <v>-2.8082854729729743</v>
      </c>
      <c r="AU24" s="156">
        <f t="shared" si="8"/>
        <v>-2.981103040540541</v>
      </c>
      <c r="AV24" s="156">
        <f t="shared" si="8"/>
        <v>-3.153920608108108</v>
      </c>
      <c r="AW24" s="156">
        <f t="shared" si="8"/>
        <v>-3.326738175675675</v>
      </c>
      <c r="AX24" s="156">
        <f t="shared" si="8"/>
        <v>-3.4995557432432425</v>
      </c>
      <c r="AY24" s="156">
        <f t="shared" si="8"/>
        <v>-3.6723733108108085</v>
      </c>
      <c r="AZ24" s="156">
        <f t="shared" si="8"/>
        <v>-3.845190878378376</v>
      </c>
      <c r="BA24" s="156">
        <f t="shared" si="8"/>
        <v>-4.018008445945942</v>
      </c>
      <c r="BB24" s="156">
        <f t="shared" si="8"/>
        <v>-4.19082601351351</v>
      </c>
      <c r="BC24" s="156">
        <f t="shared" si="8"/>
        <v>-4.363643581081077</v>
      </c>
      <c r="BD24" s="156">
        <f t="shared" si="8"/>
        <v>-4.536461148648644</v>
      </c>
      <c r="BE24" s="156">
        <f t="shared" si="8"/>
        <v>-4.709278716216211</v>
      </c>
      <c r="BF24" s="156">
        <f t="shared" si="8"/>
        <v>0</v>
      </c>
      <c r="BG24" s="156">
        <f t="shared" si="8"/>
        <v>0</v>
      </c>
      <c r="BH24" s="156">
        <f t="shared" si="8"/>
        <v>0</v>
      </c>
      <c r="BI24" s="156">
        <f t="shared" si="8"/>
        <v>0</v>
      </c>
      <c r="BJ24" s="156">
        <f t="shared" si="8"/>
        <v>0</v>
      </c>
      <c r="BK24" s="156">
        <f t="shared" si="8"/>
        <v>0</v>
      </c>
      <c r="BL24" s="156">
        <f t="shared" si="8"/>
        <v>0</v>
      </c>
      <c r="BM24" s="156">
        <f t="shared" si="8"/>
        <v>0</v>
      </c>
      <c r="BN24" s="156">
        <f t="shared" si="8"/>
        <v>0</v>
      </c>
      <c r="BO24" s="156">
        <f aca="true" t="shared" si="9" ref="BO24:CY24">IF(BO16&lt;=$B$2,$B$3*($B$2-2*BO16)/(2*$B$2),0)</f>
        <v>0</v>
      </c>
      <c r="BP24" s="156">
        <f t="shared" si="9"/>
        <v>0</v>
      </c>
      <c r="BQ24" s="156">
        <f t="shared" si="9"/>
        <v>0</v>
      </c>
      <c r="BR24" s="156">
        <f t="shared" si="9"/>
        <v>0</v>
      </c>
      <c r="BS24" s="156">
        <f t="shared" si="9"/>
        <v>0</v>
      </c>
      <c r="BT24" s="156">
        <f t="shared" si="9"/>
        <v>0</v>
      </c>
      <c r="BU24" s="156">
        <f t="shared" si="9"/>
        <v>0</v>
      </c>
      <c r="BV24" s="156">
        <f t="shared" si="9"/>
        <v>0</v>
      </c>
      <c r="BW24" s="156">
        <f t="shared" si="9"/>
        <v>0</v>
      </c>
      <c r="BX24" s="156">
        <f t="shared" si="9"/>
        <v>0</v>
      </c>
      <c r="BY24" s="156">
        <f t="shared" si="9"/>
        <v>0</v>
      </c>
      <c r="BZ24" s="156">
        <f t="shared" si="9"/>
        <v>0</v>
      </c>
      <c r="CA24" s="156">
        <f t="shared" si="9"/>
        <v>0</v>
      </c>
      <c r="CB24" s="156">
        <f t="shared" si="9"/>
        <v>0</v>
      </c>
      <c r="CC24" s="156">
        <f t="shared" si="9"/>
        <v>0</v>
      </c>
      <c r="CD24" s="156">
        <f t="shared" si="9"/>
        <v>0</v>
      </c>
      <c r="CE24" s="156">
        <f t="shared" si="9"/>
        <v>0</v>
      </c>
      <c r="CF24" s="156">
        <f t="shared" si="9"/>
        <v>0</v>
      </c>
      <c r="CG24" s="156">
        <f t="shared" si="9"/>
        <v>0</v>
      </c>
      <c r="CH24" s="156">
        <f t="shared" si="9"/>
        <v>0</v>
      </c>
      <c r="CI24" s="156">
        <f t="shared" si="9"/>
        <v>0</v>
      </c>
      <c r="CJ24" s="156">
        <f t="shared" si="9"/>
        <v>0</v>
      </c>
      <c r="CK24" s="156">
        <f t="shared" si="9"/>
        <v>0</v>
      </c>
      <c r="CL24" s="156">
        <f t="shared" si="9"/>
        <v>0</v>
      </c>
      <c r="CM24" s="156">
        <f t="shared" si="9"/>
        <v>0</v>
      </c>
      <c r="CN24" s="156">
        <f t="shared" si="9"/>
        <v>0</v>
      </c>
      <c r="CO24" s="156">
        <f t="shared" si="9"/>
        <v>0</v>
      </c>
      <c r="CP24" s="156">
        <f t="shared" si="9"/>
        <v>0</v>
      </c>
      <c r="CQ24" s="156">
        <f t="shared" si="9"/>
        <v>0</v>
      </c>
      <c r="CR24" s="156">
        <f t="shared" si="9"/>
        <v>0</v>
      </c>
      <c r="CS24" s="156">
        <f t="shared" si="9"/>
        <v>0</v>
      </c>
      <c r="CT24" s="156">
        <f t="shared" si="9"/>
        <v>0</v>
      </c>
      <c r="CU24" s="156">
        <f t="shared" si="9"/>
        <v>0</v>
      </c>
      <c r="CV24" s="156">
        <f t="shared" si="9"/>
        <v>0</v>
      </c>
      <c r="CW24" s="156">
        <f t="shared" si="9"/>
        <v>0</v>
      </c>
      <c r="CX24" s="156">
        <f t="shared" si="9"/>
        <v>0</v>
      </c>
      <c r="CY24" s="156">
        <f t="shared" si="9"/>
        <v>0.47524831081081076</v>
      </c>
      <c r="DA24" s="156">
        <f>MAX(B24:CY24)</f>
        <v>4.7956875000000005</v>
      </c>
      <c r="DB24" s="156">
        <f>MIN(B24:CY24)</f>
        <v>-4.709278716216211</v>
      </c>
      <c r="DC24" s="156">
        <f>ABS(DB24)</f>
        <v>4.709278716216211</v>
      </c>
      <c r="DE24" s="156">
        <f>MAX(DA24,DC24)</f>
        <v>4.7956875000000005</v>
      </c>
    </row>
    <row r="25" spans="1:109" ht="11.25">
      <c r="A25" s="156" t="s">
        <v>325</v>
      </c>
      <c r="B25" s="156">
        <f>IF($B$5=0,0,IF(B16&gt;$B$2,0,IF(B16&lt;=$B$5,$B$4*$B$6/$B$2,-1*$B$4*$B$5/$B$2)))</f>
        <v>0</v>
      </c>
      <c r="C25" s="156">
        <f aca="true" t="shared" si="10" ref="C25:BN25">IF($B$5=0,0,IF(C16&gt;$B$2,0,IF(C16&lt;=$B$5,$B$4*$B$6/$B$2,-1*$B$4*$B$5/$B$2)))</f>
        <v>0</v>
      </c>
      <c r="D25" s="156">
        <f t="shared" si="10"/>
        <v>0</v>
      </c>
      <c r="E25" s="156">
        <f t="shared" si="10"/>
        <v>0</v>
      </c>
      <c r="F25" s="156">
        <f t="shared" si="10"/>
        <v>0</v>
      </c>
      <c r="G25" s="156">
        <f t="shared" si="10"/>
        <v>0</v>
      </c>
      <c r="H25" s="156">
        <f t="shared" si="10"/>
        <v>0</v>
      </c>
      <c r="I25" s="156">
        <f t="shared" si="10"/>
        <v>0</v>
      </c>
      <c r="J25" s="156">
        <f t="shared" si="10"/>
        <v>0</v>
      </c>
      <c r="K25" s="156">
        <f t="shared" si="10"/>
        <v>0</v>
      </c>
      <c r="L25" s="156">
        <f t="shared" si="10"/>
        <v>0</v>
      </c>
      <c r="M25" s="156">
        <f t="shared" si="10"/>
        <v>0</v>
      </c>
      <c r="N25" s="156">
        <f t="shared" si="10"/>
        <v>0</v>
      </c>
      <c r="O25" s="156">
        <f t="shared" si="10"/>
        <v>0</v>
      </c>
      <c r="P25" s="156">
        <f t="shared" si="10"/>
        <v>0</v>
      </c>
      <c r="Q25" s="156">
        <f t="shared" si="10"/>
        <v>0</v>
      </c>
      <c r="R25" s="156">
        <f t="shared" si="10"/>
        <v>0</v>
      </c>
      <c r="S25" s="156">
        <f t="shared" si="10"/>
        <v>0</v>
      </c>
      <c r="T25" s="156">
        <f t="shared" si="10"/>
        <v>0</v>
      </c>
      <c r="U25" s="156">
        <f t="shared" si="10"/>
        <v>0</v>
      </c>
      <c r="V25" s="156">
        <f t="shared" si="10"/>
        <v>0</v>
      </c>
      <c r="W25" s="156">
        <f t="shared" si="10"/>
        <v>0</v>
      </c>
      <c r="X25" s="156">
        <f t="shared" si="10"/>
        <v>0</v>
      </c>
      <c r="Y25" s="156">
        <f t="shared" si="10"/>
        <v>0</v>
      </c>
      <c r="Z25" s="156">
        <f t="shared" si="10"/>
        <v>0</v>
      </c>
      <c r="AA25" s="156">
        <f t="shared" si="10"/>
        <v>0</v>
      </c>
      <c r="AB25" s="156">
        <f t="shared" si="10"/>
        <v>0</v>
      </c>
      <c r="AC25" s="156">
        <f t="shared" si="10"/>
        <v>0</v>
      </c>
      <c r="AD25" s="156">
        <f t="shared" si="10"/>
        <v>0</v>
      </c>
      <c r="AE25" s="156">
        <f t="shared" si="10"/>
        <v>0</v>
      </c>
      <c r="AF25" s="156">
        <f t="shared" si="10"/>
        <v>0</v>
      </c>
      <c r="AG25" s="156">
        <f t="shared" si="10"/>
        <v>0</v>
      </c>
      <c r="AH25" s="156">
        <f t="shared" si="10"/>
        <v>0</v>
      </c>
      <c r="AI25" s="156">
        <f t="shared" si="10"/>
        <v>0</v>
      </c>
      <c r="AJ25" s="156">
        <f t="shared" si="10"/>
        <v>0</v>
      </c>
      <c r="AK25" s="156">
        <f t="shared" si="10"/>
        <v>0</v>
      </c>
      <c r="AL25" s="156">
        <f t="shared" si="10"/>
        <v>0</v>
      </c>
      <c r="AM25" s="156">
        <f t="shared" si="10"/>
        <v>0</v>
      </c>
      <c r="AN25" s="156">
        <f t="shared" si="10"/>
        <v>0</v>
      </c>
      <c r="AO25" s="156">
        <f t="shared" si="10"/>
        <v>0</v>
      </c>
      <c r="AP25" s="156">
        <f t="shared" si="10"/>
        <v>0</v>
      </c>
      <c r="AQ25" s="156">
        <f t="shared" si="10"/>
        <v>0</v>
      </c>
      <c r="AR25" s="156">
        <f t="shared" si="10"/>
        <v>0</v>
      </c>
      <c r="AS25" s="156">
        <f t="shared" si="10"/>
        <v>0</v>
      </c>
      <c r="AT25" s="156">
        <f t="shared" si="10"/>
        <v>0</v>
      </c>
      <c r="AU25" s="156">
        <f t="shared" si="10"/>
        <v>0</v>
      </c>
      <c r="AV25" s="156">
        <f t="shared" si="10"/>
        <v>0</v>
      </c>
      <c r="AW25" s="156">
        <f t="shared" si="10"/>
        <v>0</v>
      </c>
      <c r="AX25" s="156">
        <f t="shared" si="10"/>
        <v>0</v>
      </c>
      <c r="AY25" s="156">
        <f t="shared" si="10"/>
        <v>0</v>
      </c>
      <c r="AZ25" s="156">
        <f t="shared" si="10"/>
        <v>0</v>
      </c>
      <c r="BA25" s="156">
        <f t="shared" si="10"/>
        <v>0</v>
      </c>
      <c r="BB25" s="156">
        <f t="shared" si="10"/>
        <v>0</v>
      </c>
      <c r="BC25" s="156">
        <f t="shared" si="10"/>
        <v>0</v>
      </c>
      <c r="BD25" s="156">
        <f t="shared" si="10"/>
        <v>0</v>
      </c>
      <c r="BE25" s="156">
        <f t="shared" si="10"/>
        <v>0</v>
      </c>
      <c r="BF25" s="156">
        <f t="shared" si="10"/>
        <v>0</v>
      </c>
      <c r="BG25" s="156">
        <f t="shared" si="10"/>
        <v>0</v>
      </c>
      <c r="BH25" s="156">
        <f t="shared" si="10"/>
        <v>0</v>
      </c>
      <c r="BI25" s="156">
        <f t="shared" si="10"/>
        <v>0</v>
      </c>
      <c r="BJ25" s="156">
        <f t="shared" si="10"/>
        <v>0</v>
      </c>
      <c r="BK25" s="156">
        <f t="shared" si="10"/>
        <v>0</v>
      </c>
      <c r="BL25" s="156">
        <f t="shared" si="10"/>
        <v>0</v>
      </c>
      <c r="BM25" s="156">
        <f t="shared" si="10"/>
        <v>0</v>
      </c>
      <c r="BN25" s="156">
        <f t="shared" si="10"/>
        <v>0</v>
      </c>
      <c r="BO25" s="156">
        <f aca="true" t="shared" si="11" ref="BO25:CY25">IF($B$5=0,0,IF(BO16&gt;$B$2,0,IF(BO16&lt;=$B$5,$B$4*$B$6/$B$2,-1*$B$4*$B$5/$B$2)))</f>
        <v>0</v>
      </c>
      <c r="BP25" s="156">
        <f t="shared" si="11"/>
        <v>0</v>
      </c>
      <c r="BQ25" s="156">
        <f t="shared" si="11"/>
        <v>0</v>
      </c>
      <c r="BR25" s="156">
        <f t="shared" si="11"/>
        <v>0</v>
      </c>
      <c r="BS25" s="156">
        <f t="shared" si="11"/>
        <v>0</v>
      </c>
      <c r="BT25" s="156">
        <f t="shared" si="11"/>
        <v>0</v>
      </c>
      <c r="BU25" s="156">
        <f t="shared" si="11"/>
        <v>0</v>
      </c>
      <c r="BV25" s="156">
        <f t="shared" si="11"/>
        <v>0</v>
      </c>
      <c r="BW25" s="156">
        <f t="shared" si="11"/>
        <v>0</v>
      </c>
      <c r="BX25" s="156">
        <f t="shared" si="11"/>
        <v>0</v>
      </c>
      <c r="BY25" s="156">
        <f t="shared" si="11"/>
        <v>0</v>
      </c>
      <c r="BZ25" s="156">
        <f t="shared" si="11"/>
        <v>0</v>
      </c>
      <c r="CA25" s="156">
        <f t="shared" si="11"/>
        <v>0</v>
      </c>
      <c r="CB25" s="156">
        <f t="shared" si="11"/>
        <v>0</v>
      </c>
      <c r="CC25" s="156">
        <f t="shared" si="11"/>
        <v>0</v>
      </c>
      <c r="CD25" s="156">
        <f t="shared" si="11"/>
        <v>0</v>
      </c>
      <c r="CE25" s="156">
        <f t="shared" si="11"/>
        <v>0</v>
      </c>
      <c r="CF25" s="156">
        <f t="shared" si="11"/>
        <v>0</v>
      </c>
      <c r="CG25" s="156">
        <f t="shared" si="11"/>
        <v>0</v>
      </c>
      <c r="CH25" s="156">
        <f t="shared" si="11"/>
        <v>0</v>
      </c>
      <c r="CI25" s="156">
        <f t="shared" si="11"/>
        <v>0</v>
      </c>
      <c r="CJ25" s="156">
        <f t="shared" si="11"/>
        <v>0</v>
      </c>
      <c r="CK25" s="156">
        <f t="shared" si="11"/>
        <v>0</v>
      </c>
      <c r="CL25" s="156">
        <f t="shared" si="11"/>
        <v>0</v>
      </c>
      <c r="CM25" s="156">
        <f t="shared" si="11"/>
        <v>0</v>
      </c>
      <c r="CN25" s="156">
        <f t="shared" si="11"/>
        <v>0</v>
      </c>
      <c r="CO25" s="156">
        <f t="shared" si="11"/>
        <v>0</v>
      </c>
      <c r="CP25" s="156">
        <f t="shared" si="11"/>
        <v>0</v>
      </c>
      <c r="CQ25" s="156">
        <f t="shared" si="11"/>
        <v>0</v>
      </c>
      <c r="CR25" s="156">
        <f t="shared" si="11"/>
        <v>0</v>
      </c>
      <c r="CS25" s="156">
        <f t="shared" si="11"/>
        <v>0</v>
      </c>
      <c r="CT25" s="156">
        <f t="shared" si="11"/>
        <v>0</v>
      </c>
      <c r="CU25" s="156">
        <f t="shared" si="11"/>
        <v>0</v>
      </c>
      <c r="CV25" s="156">
        <f t="shared" si="11"/>
        <v>0</v>
      </c>
      <c r="CW25" s="156">
        <f t="shared" si="11"/>
        <v>0</v>
      </c>
      <c r="CX25" s="156">
        <f t="shared" si="11"/>
        <v>0</v>
      </c>
      <c r="CY25" s="156">
        <f t="shared" si="11"/>
        <v>0</v>
      </c>
      <c r="DA25" s="156">
        <f>MAX(B25:CY25)</f>
        <v>0</v>
      </c>
      <c r="DB25" s="156">
        <f>MIN(B25:CY25)</f>
        <v>0</v>
      </c>
      <c r="DC25" s="156">
        <f>ABS(DB25)</f>
        <v>0</v>
      </c>
      <c r="DE25" s="156">
        <f>MAX(DA25,DC25)</f>
        <v>0</v>
      </c>
    </row>
    <row r="26" spans="1:109" ht="11.25">
      <c r="A26" s="156" t="s">
        <v>75</v>
      </c>
      <c r="B26" s="156">
        <f>B24+B25</f>
        <v>4.7956875000000005</v>
      </c>
      <c r="C26" s="156">
        <f aca="true" t="shared" si="12" ref="C26:BN26">C24+C25</f>
        <v>4.622869932432432</v>
      </c>
      <c r="D26" s="156">
        <f t="shared" si="12"/>
        <v>4.450052364864865</v>
      </c>
      <c r="E26" s="156">
        <f t="shared" si="12"/>
        <v>4.2772347972972975</v>
      </c>
      <c r="F26" s="156">
        <f t="shared" si="12"/>
        <v>4.10441722972973</v>
      </c>
      <c r="G26" s="156">
        <f t="shared" si="12"/>
        <v>3.9315996621621627</v>
      </c>
      <c r="H26" s="156">
        <f t="shared" si="12"/>
        <v>3.758782094594595</v>
      </c>
      <c r="I26" s="156">
        <f t="shared" si="12"/>
        <v>3.585964527027028</v>
      </c>
      <c r="J26" s="156">
        <f t="shared" si="12"/>
        <v>3.41314695945946</v>
      </c>
      <c r="K26" s="156">
        <f t="shared" si="12"/>
        <v>3.2403293918918923</v>
      </c>
      <c r="L26" s="156">
        <f t="shared" si="12"/>
        <v>3.067511824324325</v>
      </c>
      <c r="M26" s="156">
        <f t="shared" si="12"/>
        <v>2.894694256756757</v>
      </c>
      <c r="N26" s="156">
        <f t="shared" si="12"/>
        <v>2.7218766891891897</v>
      </c>
      <c r="O26" s="156">
        <f t="shared" si="12"/>
        <v>2.549059121621622</v>
      </c>
      <c r="P26" s="156">
        <f t="shared" si="12"/>
        <v>2.376241554054054</v>
      </c>
      <c r="Q26" s="156">
        <f t="shared" si="12"/>
        <v>2.203423986486486</v>
      </c>
      <c r="R26" s="156">
        <f t="shared" si="12"/>
        <v>2.030606418918919</v>
      </c>
      <c r="S26" s="156">
        <f t="shared" si="12"/>
        <v>1.857788851351351</v>
      </c>
      <c r="T26" s="156">
        <f t="shared" si="12"/>
        <v>1.684971283783783</v>
      </c>
      <c r="U26" s="156">
        <f t="shared" si="12"/>
        <v>1.5121537162162153</v>
      </c>
      <c r="V26" s="156">
        <f t="shared" si="12"/>
        <v>1.339336148648648</v>
      </c>
      <c r="W26" s="156">
        <f t="shared" si="12"/>
        <v>1.16651858108108</v>
      </c>
      <c r="X26" s="156">
        <f t="shared" si="12"/>
        <v>0.9937010135135125</v>
      </c>
      <c r="Y26" s="156">
        <f t="shared" si="12"/>
        <v>0.8208834459459448</v>
      </c>
      <c r="Z26" s="156">
        <f t="shared" si="12"/>
        <v>0.6480658783783769</v>
      </c>
      <c r="AA26" s="156">
        <f t="shared" si="12"/>
        <v>0.4752483108108092</v>
      </c>
      <c r="AB26" s="156">
        <f t="shared" si="12"/>
        <v>0.30243074324324143</v>
      </c>
      <c r="AC26" s="156">
        <f t="shared" si="12"/>
        <v>0.1296131756756737</v>
      </c>
      <c r="AD26" s="156">
        <f t="shared" si="12"/>
        <v>-0.043204391891894046</v>
      </c>
      <c r="AE26" s="156">
        <f t="shared" si="12"/>
        <v>-0.21602195945946182</v>
      </c>
      <c r="AF26" s="156">
        <f t="shared" si="12"/>
        <v>-0.38883952702702956</v>
      </c>
      <c r="AG26" s="156">
        <f t="shared" si="12"/>
        <v>-0.5616570945945973</v>
      </c>
      <c r="AH26" s="156">
        <f t="shared" si="12"/>
        <v>-0.7344746621621651</v>
      </c>
      <c r="AI26" s="156">
        <f t="shared" si="12"/>
        <v>-0.9072922297297328</v>
      </c>
      <c r="AJ26" s="156">
        <f t="shared" si="12"/>
        <v>-1.0801097972973004</v>
      </c>
      <c r="AK26" s="156">
        <f t="shared" si="12"/>
        <v>-1.2529273648648682</v>
      </c>
      <c r="AL26" s="156">
        <f t="shared" si="12"/>
        <v>-1.425744932432436</v>
      </c>
      <c r="AM26" s="156">
        <f t="shared" si="12"/>
        <v>-1.5985625000000039</v>
      </c>
      <c r="AN26" s="156">
        <f t="shared" si="12"/>
        <v>-1.7713800675675715</v>
      </c>
      <c r="AO26" s="156">
        <f t="shared" si="12"/>
        <v>-1.9441976351351393</v>
      </c>
      <c r="AP26" s="156">
        <f t="shared" si="12"/>
        <v>-2.1170152027027065</v>
      </c>
      <c r="AQ26" s="156">
        <f t="shared" si="12"/>
        <v>-2.2898327702702734</v>
      </c>
      <c r="AR26" s="156">
        <f t="shared" si="12"/>
        <v>-2.46265033783784</v>
      </c>
      <c r="AS26" s="156">
        <f t="shared" si="12"/>
        <v>-2.635467905405407</v>
      </c>
      <c r="AT26" s="156">
        <f t="shared" si="12"/>
        <v>-2.8082854729729743</v>
      </c>
      <c r="AU26" s="156">
        <f t="shared" si="12"/>
        <v>-2.981103040540541</v>
      </c>
      <c r="AV26" s="156">
        <f t="shared" si="12"/>
        <v>-3.153920608108108</v>
      </c>
      <c r="AW26" s="156">
        <f t="shared" si="12"/>
        <v>-3.326738175675675</v>
      </c>
      <c r="AX26" s="156">
        <f t="shared" si="12"/>
        <v>-3.4995557432432425</v>
      </c>
      <c r="AY26" s="156">
        <f t="shared" si="12"/>
        <v>-3.6723733108108085</v>
      </c>
      <c r="AZ26" s="156">
        <f t="shared" si="12"/>
        <v>-3.845190878378376</v>
      </c>
      <c r="BA26" s="156">
        <f t="shared" si="12"/>
        <v>-4.018008445945942</v>
      </c>
      <c r="BB26" s="156">
        <f t="shared" si="12"/>
        <v>-4.19082601351351</v>
      </c>
      <c r="BC26" s="156">
        <f t="shared" si="12"/>
        <v>-4.363643581081077</v>
      </c>
      <c r="BD26" s="156">
        <f t="shared" si="12"/>
        <v>-4.536461148648644</v>
      </c>
      <c r="BE26" s="156">
        <f t="shared" si="12"/>
        <v>-4.709278716216211</v>
      </c>
      <c r="BF26" s="156">
        <f t="shared" si="12"/>
        <v>0</v>
      </c>
      <c r="BG26" s="156">
        <f t="shared" si="12"/>
        <v>0</v>
      </c>
      <c r="BH26" s="156">
        <f t="shared" si="12"/>
        <v>0</v>
      </c>
      <c r="BI26" s="156">
        <f t="shared" si="12"/>
        <v>0</v>
      </c>
      <c r="BJ26" s="156">
        <f t="shared" si="12"/>
        <v>0</v>
      </c>
      <c r="BK26" s="156">
        <f t="shared" si="12"/>
        <v>0</v>
      </c>
      <c r="BL26" s="156">
        <f t="shared" si="12"/>
        <v>0</v>
      </c>
      <c r="BM26" s="156">
        <f t="shared" si="12"/>
        <v>0</v>
      </c>
      <c r="BN26" s="156">
        <f t="shared" si="12"/>
        <v>0</v>
      </c>
      <c r="BO26" s="156">
        <f aca="true" t="shared" si="13" ref="BO26:CY26">BO24+BO25</f>
        <v>0</v>
      </c>
      <c r="BP26" s="156">
        <f t="shared" si="13"/>
        <v>0</v>
      </c>
      <c r="BQ26" s="156">
        <f t="shared" si="13"/>
        <v>0</v>
      </c>
      <c r="BR26" s="156">
        <f t="shared" si="13"/>
        <v>0</v>
      </c>
      <c r="BS26" s="156">
        <f t="shared" si="13"/>
        <v>0</v>
      </c>
      <c r="BT26" s="156">
        <f t="shared" si="13"/>
        <v>0</v>
      </c>
      <c r="BU26" s="156">
        <f t="shared" si="13"/>
        <v>0</v>
      </c>
      <c r="BV26" s="156">
        <f t="shared" si="13"/>
        <v>0</v>
      </c>
      <c r="BW26" s="156">
        <f t="shared" si="13"/>
        <v>0</v>
      </c>
      <c r="BX26" s="156">
        <f t="shared" si="13"/>
        <v>0</v>
      </c>
      <c r="BY26" s="156">
        <f t="shared" si="13"/>
        <v>0</v>
      </c>
      <c r="BZ26" s="156">
        <f t="shared" si="13"/>
        <v>0</v>
      </c>
      <c r="CA26" s="156">
        <f t="shared" si="13"/>
        <v>0</v>
      </c>
      <c r="CB26" s="156">
        <f t="shared" si="13"/>
        <v>0</v>
      </c>
      <c r="CC26" s="156">
        <f t="shared" si="13"/>
        <v>0</v>
      </c>
      <c r="CD26" s="156">
        <f t="shared" si="13"/>
        <v>0</v>
      </c>
      <c r="CE26" s="156">
        <f t="shared" si="13"/>
        <v>0</v>
      </c>
      <c r="CF26" s="156">
        <f t="shared" si="13"/>
        <v>0</v>
      </c>
      <c r="CG26" s="156">
        <f t="shared" si="13"/>
        <v>0</v>
      </c>
      <c r="CH26" s="156">
        <f t="shared" si="13"/>
        <v>0</v>
      </c>
      <c r="CI26" s="156">
        <f t="shared" si="13"/>
        <v>0</v>
      </c>
      <c r="CJ26" s="156">
        <f t="shared" si="13"/>
        <v>0</v>
      </c>
      <c r="CK26" s="156">
        <f t="shared" si="13"/>
        <v>0</v>
      </c>
      <c r="CL26" s="156">
        <f t="shared" si="13"/>
        <v>0</v>
      </c>
      <c r="CM26" s="156">
        <f t="shared" si="13"/>
        <v>0</v>
      </c>
      <c r="CN26" s="156">
        <f t="shared" si="13"/>
        <v>0</v>
      </c>
      <c r="CO26" s="156">
        <f t="shared" si="13"/>
        <v>0</v>
      </c>
      <c r="CP26" s="156">
        <f t="shared" si="13"/>
        <v>0</v>
      </c>
      <c r="CQ26" s="156">
        <f t="shared" si="13"/>
        <v>0</v>
      </c>
      <c r="CR26" s="156">
        <f t="shared" si="13"/>
        <v>0</v>
      </c>
      <c r="CS26" s="156">
        <f t="shared" si="13"/>
        <v>0</v>
      </c>
      <c r="CT26" s="156">
        <f t="shared" si="13"/>
        <v>0</v>
      </c>
      <c r="CU26" s="156">
        <f t="shared" si="13"/>
        <v>0</v>
      </c>
      <c r="CV26" s="156">
        <f t="shared" si="13"/>
        <v>0</v>
      </c>
      <c r="CW26" s="156">
        <f t="shared" si="13"/>
        <v>0</v>
      </c>
      <c r="CX26" s="156">
        <f t="shared" si="13"/>
        <v>0</v>
      </c>
      <c r="CY26" s="156">
        <f t="shared" si="13"/>
        <v>0.47524831081081076</v>
      </c>
      <c r="DA26" s="156">
        <f>MAX(B26:CY26)</f>
        <v>4.7956875000000005</v>
      </c>
      <c r="DB26" s="156">
        <f>MIN(B26:CY26)</f>
        <v>-4.709278716216211</v>
      </c>
      <c r="DC26" s="156">
        <f>ABS(DB26)</f>
        <v>4.709278716216211</v>
      </c>
      <c r="DE26" s="156">
        <f>MAX(DA26,DC26)</f>
        <v>4.7956875000000005</v>
      </c>
    </row>
    <row r="27" ht="11.25">
      <c r="CY27" s="156"/>
    </row>
    <row r="28" spans="1:109" ht="11.25">
      <c r="A28" s="156" t="s">
        <v>328</v>
      </c>
      <c r="B28" s="156">
        <f aca="true" t="shared" si="14" ref="B28:BN28">IF(B16&lt;$B$2,$B$9*$B$2*B16*(($B$2^3)-(2*$B$2*B16^2)+(B16^3))/(24*$B$7*$B$8*$B$2)*10000000,0)</f>
        <v>0</v>
      </c>
      <c r="C28" s="156">
        <f t="shared" si="14"/>
        <v>259.1471080109127</v>
      </c>
      <c r="D28" s="156">
        <f t="shared" si="14"/>
        <v>517.3052199900794</v>
      </c>
      <c r="E28" s="156">
        <f t="shared" si="14"/>
        <v>773.5187109375</v>
      </c>
      <c r="F28" s="156">
        <f t="shared" si="14"/>
        <v>1026.8683606150792</v>
      </c>
      <c r="G28" s="156">
        <f t="shared" si="14"/>
        <v>1276.4713535466267</v>
      </c>
      <c r="H28" s="156">
        <f t="shared" si="14"/>
        <v>1521.4812790178567</v>
      </c>
      <c r="I28" s="156">
        <f t="shared" si="14"/>
        <v>1761.0881310763884</v>
      </c>
      <c r="J28" s="156">
        <f t="shared" si="14"/>
        <v>1994.5183085317458</v>
      </c>
      <c r="K28" s="156">
        <f t="shared" si="14"/>
        <v>2221.034614955357</v>
      </c>
      <c r="L28" s="156">
        <f t="shared" si="14"/>
        <v>2439.936258680555</v>
      </c>
      <c r="M28" s="156">
        <f t="shared" si="14"/>
        <v>2650.5588528025787</v>
      </c>
      <c r="N28" s="156">
        <f t="shared" si="14"/>
        <v>2852.2744151785705</v>
      </c>
      <c r="O28" s="156">
        <f t="shared" si="14"/>
        <v>3044.4913684275793</v>
      </c>
      <c r="P28" s="156">
        <f t="shared" si="14"/>
        <v>3226.654539930556</v>
      </c>
      <c r="Q28" s="156">
        <f t="shared" si="14"/>
        <v>3398.245161830356</v>
      </c>
      <c r="R28" s="156">
        <f t="shared" si="14"/>
        <v>3558.7808710317463</v>
      </c>
      <c r="S28" s="156">
        <f t="shared" si="14"/>
        <v>3707.815709201389</v>
      </c>
      <c r="T28" s="156">
        <f t="shared" si="14"/>
        <v>3844.940122767858</v>
      </c>
      <c r="U28" s="156">
        <f t="shared" si="14"/>
        <v>3969.780962921627</v>
      </c>
      <c r="V28" s="156">
        <f t="shared" si="14"/>
        <v>4082.001485615079</v>
      </c>
      <c r="W28" s="156">
        <f t="shared" si="14"/>
        <v>4181.301351562499</v>
      </c>
      <c r="X28" s="156">
        <f t="shared" si="14"/>
        <v>4267.4166262400795</v>
      </c>
      <c r="Y28" s="156">
        <f t="shared" si="14"/>
        <v>4340.119779885912</v>
      </c>
      <c r="Z28" s="156">
        <f t="shared" si="14"/>
        <v>4399.2196875</v>
      </c>
      <c r="AA28" s="156">
        <f t="shared" si="14"/>
        <v>4444.561628844245</v>
      </c>
      <c r="AB28" s="156">
        <f t="shared" si="14"/>
        <v>4476.027288442459</v>
      </c>
      <c r="AC28" s="156">
        <f t="shared" si="14"/>
        <v>4493.534755580356</v>
      </c>
      <c r="AD28" s="156">
        <f t="shared" si="14"/>
        <v>4497.038524305555</v>
      </c>
      <c r="AE28" s="156">
        <f t="shared" si="14"/>
        <v>4486.529493427579</v>
      </c>
      <c r="AF28" s="156">
        <f t="shared" si="14"/>
        <v>4462.0349665178555</v>
      </c>
      <c r="AG28" s="156">
        <f t="shared" si="14"/>
        <v>4423.618651909721</v>
      </c>
      <c r="AH28" s="156">
        <f t="shared" si="14"/>
        <v>4371.3806626984115</v>
      </c>
      <c r="AI28" s="156">
        <f t="shared" si="14"/>
        <v>4305.457516741069</v>
      </c>
      <c r="AJ28" s="156">
        <f t="shared" si="14"/>
        <v>4226.022136656744</v>
      </c>
      <c r="AK28" s="156">
        <f t="shared" si="14"/>
        <v>4133.283849826385</v>
      </c>
      <c r="AL28" s="156">
        <f t="shared" si="14"/>
        <v>4027.4883883928537</v>
      </c>
      <c r="AM28" s="156">
        <f t="shared" si="14"/>
        <v>3908.9178892609098</v>
      </c>
      <c r="AN28" s="156">
        <f t="shared" si="14"/>
        <v>3777.8908940972187</v>
      </c>
      <c r="AO28" s="156">
        <f t="shared" si="14"/>
        <v>3634.762349330352</v>
      </c>
      <c r="AP28" s="156">
        <f t="shared" si="14"/>
        <v>3479.923606150789</v>
      </c>
      <c r="AQ28" s="156">
        <f t="shared" si="14"/>
        <v>3313.802420510908</v>
      </c>
      <c r="AR28" s="156">
        <f t="shared" si="14"/>
        <v>3136.862953124997</v>
      </c>
      <c r="AS28" s="156">
        <f t="shared" si="14"/>
        <v>2949.6057694692436</v>
      </c>
      <c r="AT28" s="156">
        <f t="shared" si="14"/>
        <v>2752.5678397817455</v>
      </c>
      <c r="AU28" s="156">
        <f t="shared" si="14"/>
        <v>2546.3225390624984</v>
      </c>
      <c r="AV28" s="156">
        <f t="shared" si="14"/>
        <v>2331.4796470734127</v>
      </c>
      <c r="AW28" s="156">
        <f t="shared" si="14"/>
        <v>2108.6853483382956</v>
      </c>
      <c r="AX28" s="156">
        <f t="shared" si="14"/>
        <v>1878.6222321428593</v>
      </c>
      <c r="AY28" s="156">
        <f t="shared" si="14"/>
        <v>1642.0092925347237</v>
      </c>
      <c r="AZ28" s="156">
        <f t="shared" si="14"/>
        <v>1399.6019283234184</v>
      </c>
      <c r="BA28" s="156">
        <f t="shared" si="14"/>
        <v>1152.1919430803616</v>
      </c>
      <c r="BB28" s="156">
        <f t="shared" si="14"/>
        <v>900.6075451388937</v>
      </c>
      <c r="BC28" s="156">
        <f t="shared" si="14"/>
        <v>645.7133475942513</v>
      </c>
      <c r="BD28" s="156">
        <f t="shared" si="14"/>
        <v>388.41036830357996</v>
      </c>
      <c r="BE28" s="156">
        <f t="shared" si="14"/>
        <v>129.63602988592012</v>
      </c>
      <c r="BF28" s="156">
        <f t="shared" si="14"/>
        <v>0</v>
      </c>
      <c r="BG28" s="156">
        <f t="shared" si="14"/>
        <v>0</v>
      </c>
      <c r="BH28" s="156">
        <f t="shared" si="14"/>
        <v>0</v>
      </c>
      <c r="BI28" s="156">
        <f t="shared" si="14"/>
        <v>0</v>
      </c>
      <c r="BJ28" s="156">
        <f t="shared" si="14"/>
        <v>0</v>
      </c>
      <c r="BK28" s="156">
        <f t="shared" si="14"/>
        <v>0</v>
      </c>
      <c r="BL28" s="156">
        <f t="shared" si="14"/>
        <v>0</v>
      </c>
      <c r="BM28" s="156">
        <f t="shared" si="14"/>
        <v>0</v>
      </c>
      <c r="BN28" s="156">
        <f t="shared" si="14"/>
        <v>0</v>
      </c>
      <c r="BO28" s="156">
        <f aca="true" t="shared" si="15" ref="BO28:CX28">IF(BO16&lt;$B$2,$B$9*$B$2*BO16*(($B$2^3)-(2*$B$2*BO16^2)+(BO16^3))/(24*$B$7*$B$8*$B$2)*10000000,0)</f>
        <v>0</v>
      </c>
      <c r="BP28" s="156">
        <f t="shared" si="15"/>
        <v>0</v>
      </c>
      <c r="BQ28" s="156">
        <f t="shared" si="15"/>
        <v>0</v>
      </c>
      <c r="BR28" s="156">
        <f t="shared" si="15"/>
        <v>0</v>
      </c>
      <c r="BS28" s="156">
        <f t="shared" si="15"/>
        <v>0</v>
      </c>
      <c r="BT28" s="156">
        <f t="shared" si="15"/>
        <v>0</v>
      </c>
      <c r="BU28" s="156">
        <f t="shared" si="15"/>
        <v>0</v>
      </c>
      <c r="BV28" s="156">
        <f t="shared" si="15"/>
        <v>0</v>
      </c>
      <c r="BW28" s="156">
        <f t="shared" si="15"/>
        <v>0</v>
      </c>
      <c r="BX28" s="156">
        <f t="shared" si="15"/>
        <v>0</v>
      </c>
      <c r="BY28" s="156">
        <f t="shared" si="15"/>
        <v>0</v>
      </c>
      <c r="BZ28" s="156">
        <f t="shared" si="15"/>
        <v>0</v>
      </c>
      <c r="CA28" s="156">
        <f t="shared" si="15"/>
        <v>0</v>
      </c>
      <c r="CB28" s="156">
        <f t="shared" si="15"/>
        <v>0</v>
      </c>
      <c r="CC28" s="156">
        <f t="shared" si="15"/>
        <v>0</v>
      </c>
      <c r="CD28" s="156">
        <f t="shared" si="15"/>
        <v>0</v>
      </c>
      <c r="CE28" s="156">
        <f t="shared" si="15"/>
        <v>0</v>
      </c>
      <c r="CF28" s="156">
        <f t="shared" si="15"/>
        <v>0</v>
      </c>
      <c r="CG28" s="156">
        <f t="shared" si="15"/>
        <v>0</v>
      </c>
      <c r="CH28" s="156">
        <f t="shared" si="15"/>
        <v>0</v>
      </c>
      <c r="CI28" s="156">
        <f t="shared" si="15"/>
        <v>0</v>
      </c>
      <c r="CJ28" s="156">
        <f t="shared" si="15"/>
        <v>0</v>
      </c>
      <c r="CK28" s="156">
        <f t="shared" si="15"/>
        <v>0</v>
      </c>
      <c r="CL28" s="156">
        <f t="shared" si="15"/>
        <v>0</v>
      </c>
      <c r="CM28" s="156">
        <f t="shared" si="15"/>
        <v>0</v>
      </c>
      <c r="CN28" s="156">
        <f t="shared" si="15"/>
        <v>0</v>
      </c>
      <c r="CO28" s="156">
        <f t="shared" si="15"/>
        <v>0</v>
      </c>
      <c r="CP28" s="156">
        <f t="shared" si="15"/>
        <v>0</v>
      </c>
      <c r="CQ28" s="156">
        <f t="shared" si="15"/>
        <v>0</v>
      </c>
      <c r="CR28" s="156">
        <f t="shared" si="15"/>
        <v>0</v>
      </c>
      <c r="CS28" s="156">
        <f t="shared" si="15"/>
        <v>0</v>
      </c>
      <c r="CT28" s="156">
        <f t="shared" si="15"/>
        <v>0</v>
      </c>
      <c r="CU28" s="156">
        <f t="shared" si="15"/>
        <v>0</v>
      </c>
      <c r="CV28" s="156">
        <f t="shared" si="15"/>
        <v>0</v>
      </c>
      <c r="CW28" s="156">
        <f t="shared" si="15"/>
        <v>0</v>
      </c>
      <c r="CX28" s="156">
        <f t="shared" si="15"/>
        <v>0</v>
      </c>
      <c r="CY28" s="156">
        <f>IF(CY16&lt;$B$2,$B$9*$B$2*CY16*(($B$2^3)-(2*$B$2*CY16^2)+(CY16^3))/(24*$B$7*$B$8*$B$2)*10000000,0)</f>
        <v>4444.561628844245</v>
      </c>
      <c r="DA28" s="156">
        <f>MAX(B28:CY28)</f>
        <v>4497.038524305555</v>
      </c>
      <c r="DB28" s="156">
        <f>MIN(B28:CY28)</f>
        <v>0</v>
      </c>
      <c r="DC28" s="156">
        <f>ABS(DB28)</f>
        <v>0</v>
      </c>
      <c r="DE28" s="156">
        <f>MAX(DA28,DC28)</f>
        <v>4497.038524305555</v>
      </c>
    </row>
    <row r="29" spans="1:109" ht="11.25">
      <c r="A29" s="160" t="s">
        <v>329</v>
      </c>
      <c r="B29" s="156">
        <f>IF(B16&gt;=$B$2,0,IF(B16&lt;=$B$5,$B$10*$B$6*B16*($B$2^2-$B$6^2-B16^2)/(6*$B$7*$B$8*$B$2)*10000000,$B$10*$B$5*($B$2-B16)*($B$2^2-$B$5^2-($B$2-B16)^2)/(6*$B$7*$B$8*$B$2)*10000000))</f>
        <v>0</v>
      </c>
      <c r="C29" s="156">
        <f>IF(C16&gt;=$B$2,0,IF(C16&lt;=$B$5,$B$10*$B$6*C16*($B$2^2-$B$6^2-C16^2)/(6*$B$7*$B$8*$B$2)*10000000,$B$10*$B$5*($B$2-C16)*($B$2^2-$B$5^2-($B$2-C16)^2)/(6*$B$7*$B$8*$B$2)*10000000))</f>
        <v>0</v>
      </c>
      <c r="D29" s="156">
        <f aca="true" t="shared" si="16" ref="D29:BN29">IF(D16&gt;=$B$2,0,IF(D16&lt;=$B$5,$B$10*$B$6*D16*($B$2^2-$B$6^2-D16^2)/(6*$B$7*$B$8*$B$2)*10000000,$B$10*$B$5*($B$2-D16)*($B$2^2-$B$5^2-($B$2-D16)^2)/(6*$B$7*$B$8*$B$2)*10000000))</f>
        <v>0</v>
      </c>
      <c r="E29" s="156">
        <f t="shared" si="16"/>
        <v>0</v>
      </c>
      <c r="F29" s="156">
        <f t="shared" si="16"/>
        <v>0</v>
      </c>
      <c r="G29" s="156">
        <f t="shared" si="16"/>
        <v>0</v>
      </c>
      <c r="H29" s="156">
        <f t="shared" si="16"/>
        <v>0</v>
      </c>
      <c r="I29" s="156">
        <f t="shared" si="16"/>
        <v>0</v>
      </c>
      <c r="J29" s="156">
        <f t="shared" si="16"/>
        <v>0</v>
      </c>
      <c r="K29" s="156">
        <f t="shared" si="16"/>
        <v>0</v>
      </c>
      <c r="L29" s="156">
        <f t="shared" si="16"/>
        <v>0</v>
      </c>
      <c r="M29" s="156">
        <f t="shared" si="16"/>
        <v>0</v>
      </c>
      <c r="N29" s="156">
        <f t="shared" si="16"/>
        <v>0</v>
      </c>
      <c r="O29" s="156">
        <f t="shared" si="16"/>
        <v>0</v>
      </c>
      <c r="P29" s="156">
        <f t="shared" si="16"/>
        <v>0</v>
      </c>
      <c r="Q29" s="156">
        <f t="shared" si="16"/>
        <v>0</v>
      </c>
      <c r="R29" s="156">
        <f t="shared" si="16"/>
        <v>0</v>
      </c>
      <c r="S29" s="156">
        <f t="shared" si="16"/>
        <v>0</v>
      </c>
      <c r="T29" s="156">
        <f t="shared" si="16"/>
        <v>0</v>
      </c>
      <c r="U29" s="156">
        <f t="shared" si="16"/>
        <v>0</v>
      </c>
      <c r="V29" s="156">
        <f t="shared" si="16"/>
        <v>0</v>
      </c>
      <c r="W29" s="156">
        <f t="shared" si="16"/>
        <v>0</v>
      </c>
      <c r="X29" s="156">
        <f t="shared" si="16"/>
        <v>0</v>
      </c>
      <c r="Y29" s="156">
        <f t="shared" si="16"/>
        <v>0</v>
      </c>
      <c r="Z29" s="156">
        <f t="shared" si="16"/>
        <v>0</v>
      </c>
      <c r="AA29" s="156">
        <f t="shared" si="16"/>
        <v>0</v>
      </c>
      <c r="AB29" s="156">
        <f t="shared" si="16"/>
        <v>0</v>
      </c>
      <c r="AC29" s="156">
        <f t="shared" si="16"/>
        <v>0</v>
      </c>
      <c r="AD29" s="156">
        <f t="shared" si="16"/>
        <v>0</v>
      </c>
      <c r="AE29" s="156">
        <f t="shared" si="16"/>
        <v>0</v>
      </c>
      <c r="AF29" s="156">
        <f t="shared" si="16"/>
        <v>0</v>
      </c>
      <c r="AG29" s="156">
        <f t="shared" si="16"/>
        <v>0</v>
      </c>
      <c r="AH29" s="156">
        <f t="shared" si="16"/>
        <v>0</v>
      </c>
      <c r="AI29" s="156">
        <f t="shared" si="16"/>
        <v>0</v>
      </c>
      <c r="AJ29" s="156">
        <f t="shared" si="16"/>
        <v>0</v>
      </c>
      <c r="AK29" s="156">
        <f t="shared" si="16"/>
        <v>0</v>
      </c>
      <c r="AL29" s="156">
        <f t="shared" si="16"/>
        <v>0</v>
      </c>
      <c r="AM29" s="156">
        <f t="shared" si="16"/>
        <v>0</v>
      </c>
      <c r="AN29" s="156">
        <f t="shared" si="16"/>
        <v>0</v>
      </c>
      <c r="AO29" s="156">
        <f t="shared" si="16"/>
        <v>0</v>
      </c>
      <c r="AP29" s="156">
        <f t="shared" si="16"/>
        <v>0</v>
      </c>
      <c r="AQ29" s="156">
        <f t="shared" si="16"/>
        <v>0</v>
      </c>
      <c r="AR29" s="156">
        <f t="shared" si="16"/>
        <v>0</v>
      </c>
      <c r="AS29" s="156">
        <f t="shared" si="16"/>
        <v>0</v>
      </c>
      <c r="AT29" s="156">
        <f t="shared" si="16"/>
        <v>0</v>
      </c>
      <c r="AU29" s="156">
        <f t="shared" si="16"/>
        <v>0</v>
      </c>
      <c r="AV29" s="156">
        <f t="shared" si="16"/>
        <v>0</v>
      </c>
      <c r="AW29" s="156">
        <f t="shared" si="16"/>
        <v>0</v>
      </c>
      <c r="AX29" s="156">
        <f t="shared" si="16"/>
        <v>0</v>
      </c>
      <c r="AY29" s="156">
        <f t="shared" si="16"/>
        <v>0</v>
      </c>
      <c r="AZ29" s="156">
        <f t="shared" si="16"/>
        <v>0</v>
      </c>
      <c r="BA29" s="156">
        <f t="shared" si="16"/>
        <v>0</v>
      </c>
      <c r="BB29" s="156">
        <f t="shared" si="16"/>
        <v>0</v>
      </c>
      <c r="BC29" s="156">
        <f t="shared" si="16"/>
        <v>0</v>
      </c>
      <c r="BD29" s="156">
        <f t="shared" si="16"/>
        <v>0</v>
      </c>
      <c r="BE29" s="156">
        <f t="shared" si="16"/>
        <v>0</v>
      </c>
      <c r="BF29" s="156">
        <f t="shared" si="16"/>
        <v>0</v>
      </c>
      <c r="BG29" s="156">
        <f t="shared" si="16"/>
        <v>0</v>
      </c>
      <c r="BH29" s="156">
        <f t="shared" si="16"/>
        <v>0</v>
      </c>
      <c r="BI29" s="156">
        <f t="shared" si="16"/>
        <v>0</v>
      </c>
      <c r="BJ29" s="156">
        <f t="shared" si="16"/>
        <v>0</v>
      </c>
      <c r="BK29" s="156">
        <f t="shared" si="16"/>
        <v>0</v>
      </c>
      <c r="BL29" s="156">
        <f t="shared" si="16"/>
        <v>0</v>
      </c>
      <c r="BM29" s="156">
        <f t="shared" si="16"/>
        <v>0</v>
      </c>
      <c r="BN29" s="156">
        <f t="shared" si="16"/>
        <v>0</v>
      </c>
      <c r="BO29" s="156">
        <f aca="true" t="shared" si="17" ref="BO29:CX29">IF(BO16&gt;=$B$2,0,IF(BO16&lt;=$B$5,$B$10*$B$6*BO16*($B$2^2-$B$6^2-BO16^2)/(6*$B$7*$B$8*$B$2)*10000000,$B$10*$B$5*($B$2-BO16)*($B$2^2-$B$5^2-($B$2-BO16)^2)/(6*$B$7*$B$8*$B$2)*10000000))</f>
        <v>0</v>
      </c>
      <c r="BP29" s="156">
        <f t="shared" si="17"/>
        <v>0</v>
      </c>
      <c r="BQ29" s="156">
        <f t="shared" si="17"/>
        <v>0</v>
      </c>
      <c r="BR29" s="156">
        <f t="shared" si="17"/>
        <v>0</v>
      </c>
      <c r="BS29" s="156">
        <f t="shared" si="17"/>
        <v>0</v>
      </c>
      <c r="BT29" s="156">
        <f t="shared" si="17"/>
        <v>0</v>
      </c>
      <c r="BU29" s="156">
        <f t="shared" si="17"/>
        <v>0</v>
      </c>
      <c r="BV29" s="156">
        <f t="shared" si="17"/>
        <v>0</v>
      </c>
      <c r="BW29" s="156">
        <f t="shared" si="17"/>
        <v>0</v>
      </c>
      <c r="BX29" s="156">
        <f t="shared" si="17"/>
        <v>0</v>
      </c>
      <c r="BY29" s="156">
        <f t="shared" si="17"/>
        <v>0</v>
      </c>
      <c r="BZ29" s="156">
        <f t="shared" si="17"/>
        <v>0</v>
      </c>
      <c r="CA29" s="156">
        <f t="shared" si="17"/>
        <v>0</v>
      </c>
      <c r="CB29" s="156">
        <f t="shared" si="17"/>
        <v>0</v>
      </c>
      <c r="CC29" s="156">
        <f t="shared" si="17"/>
        <v>0</v>
      </c>
      <c r="CD29" s="156">
        <f t="shared" si="17"/>
        <v>0</v>
      </c>
      <c r="CE29" s="156">
        <f t="shared" si="17"/>
        <v>0</v>
      </c>
      <c r="CF29" s="156">
        <f t="shared" si="17"/>
        <v>0</v>
      </c>
      <c r="CG29" s="156">
        <f t="shared" si="17"/>
        <v>0</v>
      </c>
      <c r="CH29" s="156">
        <f t="shared" si="17"/>
        <v>0</v>
      </c>
      <c r="CI29" s="156">
        <f t="shared" si="17"/>
        <v>0</v>
      </c>
      <c r="CJ29" s="156">
        <f t="shared" si="17"/>
        <v>0</v>
      </c>
      <c r="CK29" s="156">
        <f t="shared" si="17"/>
        <v>0</v>
      </c>
      <c r="CL29" s="156">
        <f t="shared" si="17"/>
        <v>0</v>
      </c>
      <c r="CM29" s="156">
        <f t="shared" si="17"/>
        <v>0</v>
      </c>
      <c r="CN29" s="156">
        <f t="shared" si="17"/>
        <v>0</v>
      </c>
      <c r="CO29" s="156">
        <f t="shared" si="17"/>
        <v>0</v>
      </c>
      <c r="CP29" s="156">
        <f t="shared" si="17"/>
        <v>0</v>
      </c>
      <c r="CQ29" s="156">
        <f t="shared" si="17"/>
        <v>0</v>
      </c>
      <c r="CR29" s="156">
        <f t="shared" si="17"/>
        <v>0</v>
      </c>
      <c r="CS29" s="156">
        <f t="shared" si="17"/>
        <v>0</v>
      </c>
      <c r="CT29" s="156">
        <f t="shared" si="17"/>
        <v>0</v>
      </c>
      <c r="CU29" s="156">
        <f t="shared" si="17"/>
        <v>0</v>
      </c>
      <c r="CV29" s="156">
        <f t="shared" si="17"/>
        <v>0</v>
      </c>
      <c r="CW29" s="156">
        <f t="shared" si="17"/>
        <v>0</v>
      </c>
      <c r="CX29" s="156">
        <f t="shared" si="17"/>
        <v>0</v>
      </c>
      <c r="CY29" s="156">
        <f>IF(CY16&gt;=$B$2,0,IF(CY16&lt;=$B$5,$B$10*$B$6*CY16*($B$2^2-$B$6^2-CY16^2)/(6*$B$7*$B$8*$B$2)*10000000,$B$10*$B$5*($B$2-CY16)*($B$2^2-$B$5^2-($B$2-CY16)^2)/(6*$B$7*$B$8*$B$2)*10000000))</f>
        <v>0</v>
      </c>
      <c r="DA29" s="156">
        <f>MAX(B29:CY29)</f>
        <v>0</v>
      </c>
      <c r="DB29" s="156">
        <f>MIN(B29:CY29)</f>
        <v>0</v>
      </c>
      <c r="DC29" s="156">
        <f>ABS(DB29)</f>
        <v>0</v>
      </c>
      <c r="DE29" s="156">
        <f>MAX(DA29,DC29)</f>
        <v>0</v>
      </c>
    </row>
    <row r="30" spans="1:109" ht="11.25">
      <c r="A30" s="156" t="s">
        <v>75</v>
      </c>
      <c r="B30" s="156">
        <f>B28+B29</f>
        <v>0</v>
      </c>
      <c r="C30" s="156">
        <f aca="true" t="shared" si="18" ref="C30:BN30">C28+C29</f>
        <v>259.1471080109127</v>
      </c>
      <c r="D30" s="156">
        <f t="shared" si="18"/>
        <v>517.3052199900794</v>
      </c>
      <c r="E30" s="156">
        <f t="shared" si="18"/>
        <v>773.5187109375</v>
      </c>
      <c r="F30" s="156">
        <f t="shared" si="18"/>
        <v>1026.8683606150792</v>
      </c>
      <c r="G30" s="156">
        <f t="shared" si="18"/>
        <v>1276.4713535466267</v>
      </c>
      <c r="H30" s="156">
        <f t="shared" si="18"/>
        <v>1521.4812790178567</v>
      </c>
      <c r="I30" s="156">
        <f t="shared" si="18"/>
        <v>1761.0881310763884</v>
      </c>
      <c r="J30" s="156">
        <f t="shared" si="18"/>
        <v>1994.5183085317458</v>
      </c>
      <c r="K30" s="156">
        <f t="shared" si="18"/>
        <v>2221.034614955357</v>
      </c>
      <c r="L30" s="156">
        <f t="shared" si="18"/>
        <v>2439.936258680555</v>
      </c>
      <c r="M30" s="156">
        <f t="shared" si="18"/>
        <v>2650.5588528025787</v>
      </c>
      <c r="N30" s="156">
        <f t="shared" si="18"/>
        <v>2852.2744151785705</v>
      </c>
      <c r="O30" s="156">
        <f t="shared" si="18"/>
        <v>3044.4913684275793</v>
      </c>
      <c r="P30" s="156">
        <f t="shared" si="18"/>
        <v>3226.654539930556</v>
      </c>
      <c r="Q30" s="156">
        <f t="shared" si="18"/>
        <v>3398.245161830356</v>
      </c>
      <c r="R30" s="156">
        <f t="shared" si="18"/>
        <v>3558.7808710317463</v>
      </c>
      <c r="S30" s="156">
        <f t="shared" si="18"/>
        <v>3707.815709201389</v>
      </c>
      <c r="T30" s="156">
        <f t="shared" si="18"/>
        <v>3844.940122767858</v>
      </c>
      <c r="U30" s="156">
        <f t="shared" si="18"/>
        <v>3969.780962921627</v>
      </c>
      <c r="V30" s="156">
        <f t="shared" si="18"/>
        <v>4082.001485615079</v>
      </c>
      <c r="W30" s="156">
        <f t="shared" si="18"/>
        <v>4181.301351562499</v>
      </c>
      <c r="X30" s="156">
        <f t="shared" si="18"/>
        <v>4267.4166262400795</v>
      </c>
      <c r="Y30" s="156">
        <f t="shared" si="18"/>
        <v>4340.119779885912</v>
      </c>
      <c r="Z30" s="156">
        <f t="shared" si="18"/>
        <v>4399.2196875</v>
      </c>
      <c r="AA30" s="156">
        <f t="shared" si="18"/>
        <v>4444.561628844245</v>
      </c>
      <c r="AB30" s="156">
        <f t="shared" si="18"/>
        <v>4476.027288442459</v>
      </c>
      <c r="AC30" s="156">
        <f t="shared" si="18"/>
        <v>4493.534755580356</v>
      </c>
      <c r="AD30" s="156">
        <f t="shared" si="18"/>
        <v>4497.038524305555</v>
      </c>
      <c r="AE30" s="156">
        <f t="shared" si="18"/>
        <v>4486.529493427579</v>
      </c>
      <c r="AF30" s="156">
        <f t="shared" si="18"/>
        <v>4462.0349665178555</v>
      </c>
      <c r="AG30" s="156">
        <f t="shared" si="18"/>
        <v>4423.618651909721</v>
      </c>
      <c r="AH30" s="156">
        <f t="shared" si="18"/>
        <v>4371.3806626984115</v>
      </c>
      <c r="AI30" s="156">
        <f t="shared" si="18"/>
        <v>4305.457516741069</v>
      </c>
      <c r="AJ30" s="156">
        <f t="shared" si="18"/>
        <v>4226.022136656744</v>
      </c>
      <c r="AK30" s="156">
        <f t="shared" si="18"/>
        <v>4133.283849826385</v>
      </c>
      <c r="AL30" s="156">
        <f t="shared" si="18"/>
        <v>4027.4883883928537</v>
      </c>
      <c r="AM30" s="156">
        <f t="shared" si="18"/>
        <v>3908.9178892609098</v>
      </c>
      <c r="AN30" s="156">
        <f t="shared" si="18"/>
        <v>3777.8908940972187</v>
      </c>
      <c r="AO30" s="156">
        <f t="shared" si="18"/>
        <v>3634.762349330352</v>
      </c>
      <c r="AP30" s="156">
        <f t="shared" si="18"/>
        <v>3479.923606150789</v>
      </c>
      <c r="AQ30" s="156">
        <f t="shared" si="18"/>
        <v>3313.802420510908</v>
      </c>
      <c r="AR30" s="156">
        <f t="shared" si="18"/>
        <v>3136.862953124997</v>
      </c>
      <c r="AS30" s="156">
        <f t="shared" si="18"/>
        <v>2949.6057694692436</v>
      </c>
      <c r="AT30" s="156">
        <f t="shared" si="18"/>
        <v>2752.5678397817455</v>
      </c>
      <c r="AU30" s="156">
        <f t="shared" si="18"/>
        <v>2546.3225390624984</v>
      </c>
      <c r="AV30" s="156">
        <f t="shared" si="18"/>
        <v>2331.4796470734127</v>
      </c>
      <c r="AW30" s="156">
        <f t="shared" si="18"/>
        <v>2108.6853483382956</v>
      </c>
      <c r="AX30" s="156">
        <f t="shared" si="18"/>
        <v>1878.6222321428593</v>
      </c>
      <c r="AY30" s="156">
        <f t="shared" si="18"/>
        <v>1642.0092925347237</v>
      </c>
      <c r="AZ30" s="156">
        <f t="shared" si="18"/>
        <v>1399.6019283234184</v>
      </c>
      <c r="BA30" s="156">
        <f t="shared" si="18"/>
        <v>1152.1919430803616</v>
      </c>
      <c r="BB30" s="156">
        <f t="shared" si="18"/>
        <v>900.6075451388937</v>
      </c>
      <c r="BC30" s="156">
        <f t="shared" si="18"/>
        <v>645.7133475942513</v>
      </c>
      <c r="BD30" s="156">
        <f t="shared" si="18"/>
        <v>388.41036830357996</v>
      </c>
      <c r="BE30" s="156">
        <f t="shared" si="18"/>
        <v>129.63602988592012</v>
      </c>
      <c r="BF30" s="156">
        <f t="shared" si="18"/>
        <v>0</v>
      </c>
      <c r="BG30" s="156">
        <f t="shared" si="18"/>
        <v>0</v>
      </c>
      <c r="BH30" s="156">
        <f t="shared" si="18"/>
        <v>0</v>
      </c>
      <c r="BI30" s="156">
        <f t="shared" si="18"/>
        <v>0</v>
      </c>
      <c r="BJ30" s="156">
        <f t="shared" si="18"/>
        <v>0</v>
      </c>
      <c r="BK30" s="156">
        <f t="shared" si="18"/>
        <v>0</v>
      </c>
      <c r="BL30" s="156">
        <f t="shared" si="18"/>
        <v>0</v>
      </c>
      <c r="BM30" s="156">
        <f t="shared" si="18"/>
        <v>0</v>
      </c>
      <c r="BN30" s="156">
        <f t="shared" si="18"/>
        <v>0</v>
      </c>
      <c r="BO30" s="156">
        <f aca="true" t="shared" si="19" ref="BO30:CY30">BO28+BO29</f>
        <v>0</v>
      </c>
      <c r="BP30" s="156">
        <f t="shared" si="19"/>
        <v>0</v>
      </c>
      <c r="BQ30" s="156">
        <f t="shared" si="19"/>
        <v>0</v>
      </c>
      <c r="BR30" s="156">
        <f t="shared" si="19"/>
        <v>0</v>
      </c>
      <c r="BS30" s="156">
        <f t="shared" si="19"/>
        <v>0</v>
      </c>
      <c r="BT30" s="156">
        <f t="shared" si="19"/>
        <v>0</v>
      </c>
      <c r="BU30" s="156">
        <f t="shared" si="19"/>
        <v>0</v>
      </c>
      <c r="BV30" s="156">
        <f t="shared" si="19"/>
        <v>0</v>
      </c>
      <c r="BW30" s="156">
        <f t="shared" si="19"/>
        <v>0</v>
      </c>
      <c r="BX30" s="156">
        <f t="shared" si="19"/>
        <v>0</v>
      </c>
      <c r="BY30" s="156">
        <f t="shared" si="19"/>
        <v>0</v>
      </c>
      <c r="BZ30" s="156">
        <f t="shared" si="19"/>
        <v>0</v>
      </c>
      <c r="CA30" s="156">
        <f t="shared" si="19"/>
        <v>0</v>
      </c>
      <c r="CB30" s="156">
        <f t="shared" si="19"/>
        <v>0</v>
      </c>
      <c r="CC30" s="156">
        <f t="shared" si="19"/>
        <v>0</v>
      </c>
      <c r="CD30" s="156">
        <f t="shared" si="19"/>
        <v>0</v>
      </c>
      <c r="CE30" s="156">
        <f t="shared" si="19"/>
        <v>0</v>
      </c>
      <c r="CF30" s="156">
        <f t="shared" si="19"/>
        <v>0</v>
      </c>
      <c r="CG30" s="156">
        <f t="shared" si="19"/>
        <v>0</v>
      </c>
      <c r="CH30" s="156">
        <f t="shared" si="19"/>
        <v>0</v>
      </c>
      <c r="CI30" s="156">
        <f t="shared" si="19"/>
        <v>0</v>
      </c>
      <c r="CJ30" s="156">
        <f t="shared" si="19"/>
        <v>0</v>
      </c>
      <c r="CK30" s="156">
        <f t="shared" si="19"/>
        <v>0</v>
      </c>
      <c r="CL30" s="156">
        <f t="shared" si="19"/>
        <v>0</v>
      </c>
      <c r="CM30" s="156">
        <f t="shared" si="19"/>
        <v>0</v>
      </c>
      <c r="CN30" s="156">
        <f t="shared" si="19"/>
        <v>0</v>
      </c>
      <c r="CO30" s="156">
        <f t="shared" si="19"/>
        <v>0</v>
      </c>
      <c r="CP30" s="156">
        <f t="shared" si="19"/>
        <v>0</v>
      </c>
      <c r="CQ30" s="156">
        <f t="shared" si="19"/>
        <v>0</v>
      </c>
      <c r="CR30" s="156">
        <f t="shared" si="19"/>
        <v>0</v>
      </c>
      <c r="CS30" s="156">
        <f t="shared" si="19"/>
        <v>0</v>
      </c>
      <c r="CT30" s="156">
        <f t="shared" si="19"/>
        <v>0</v>
      </c>
      <c r="CU30" s="156">
        <f t="shared" si="19"/>
        <v>0</v>
      </c>
      <c r="CV30" s="156">
        <f t="shared" si="19"/>
        <v>0</v>
      </c>
      <c r="CW30" s="156">
        <f t="shared" si="19"/>
        <v>0</v>
      </c>
      <c r="CX30" s="156">
        <f t="shared" si="19"/>
        <v>0</v>
      </c>
      <c r="CY30" s="156">
        <f t="shared" si="19"/>
        <v>4444.561628844245</v>
      </c>
      <c r="DA30" s="156">
        <f>MAX(B30:CY30)</f>
        <v>4497.038524305555</v>
      </c>
      <c r="DB30" s="156">
        <f>MIN(B30:CY30)</f>
        <v>0</v>
      </c>
      <c r="DC30" s="156">
        <f>ABS(DB30)</f>
        <v>0</v>
      </c>
      <c r="DE30" s="156">
        <f>MAX(DA30,DC30)</f>
        <v>4497.038524305555</v>
      </c>
    </row>
    <row r="31" ht="11.25">
      <c r="CY31" s="156"/>
    </row>
    <row r="32" spans="1:109" ht="11.25">
      <c r="A32" s="156" t="s">
        <v>340</v>
      </c>
      <c r="B32" s="156">
        <f>IF(B16&lt;$B$2,$B$9*$B$2*B16*(($B$2^3)-(2*$B$2*B16^2)+(B16^3))/(24*$B$7*$B$12*$B$2)*10000000,0)</f>
        <v>0</v>
      </c>
      <c r="C32" s="156">
        <f aca="true" t="shared" si="20" ref="C32:BN32">IF(C16&lt;$B$2,$B$9*$B$2*C16*(($B$2^3)-(2*$B$2*C16^2)+(C16^3))/(24*$B$7*$B$12*$B$2)*10000000,0)</f>
        <v>0.28015903568747325</v>
      </c>
      <c r="D32" s="156">
        <f t="shared" si="20"/>
        <v>0.5592488864757615</v>
      </c>
      <c r="E32" s="156">
        <f t="shared" si="20"/>
        <v>0.8362364442567567</v>
      </c>
      <c r="F32" s="156">
        <f t="shared" si="20"/>
        <v>1.1101279574217073</v>
      </c>
      <c r="G32" s="156">
        <f t="shared" si="20"/>
        <v>1.3799690308612182</v>
      </c>
      <c r="H32" s="156">
        <f t="shared" si="20"/>
        <v>1.6448446259652503</v>
      </c>
      <c r="I32" s="156">
        <f t="shared" si="20"/>
        <v>1.9038790606231226</v>
      </c>
      <c r="J32" s="156">
        <f t="shared" si="20"/>
        <v>2.156236009223509</v>
      </c>
      <c r="K32" s="156">
        <f t="shared" si="20"/>
        <v>2.40111850265444</v>
      </c>
      <c r="L32" s="156">
        <f t="shared" si="20"/>
        <v>2.6377689283033026</v>
      </c>
      <c r="M32" s="156">
        <f t="shared" si="20"/>
        <v>2.865469030056842</v>
      </c>
      <c r="N32" s="156">
        <f t="shared" si="20"/>
        <v>3.0835399083011574</v>
      </c>
      <c r="O32" s="156">
        <f t="shared" si="20"/>
        <v>3.291342019921707</v>
      </c>
      <c r="P32" s="156">
        <f t="shared" si="20"/>
        <v>3.4882751783033035</v>
      </c>
      <c r="Q32" s="156">
        <f t="shared" si="20"/>
        <v>3.6737785533301146</v>
      </c>
      <c r="R32" s="156">
        <f t="shared" si="20"/>
        <v>3.847330671385672</v>
      </c>
      <c r="S32" s="156">
        <f t="shared" si="20"/>
        <v>4.008449415352853</v>
      </c>
      <c r="T32" s="156">
        <f t="shared" si="20"/>
        <v>4.156692024613901</v>
      </c>
      <c r="U32" s="156">
        <f t="shared" si="20"/>
        <v>4.291655095050407</v>
      </c>
      <c r="V32" s="156">
        <f t="shared" si="20"/>
        <v>4.412974579043329</v>
      </c>
      <c r="W32" s="156">
        <f t="shared" si="20"/>
        <v>4.520325785472972</v>
      </c>
      <c r="X32" s="156">
        <f t="shared" si="20"/>
        <v>4.613423379719005</v>
      </c>
      <c r="Y32" s="156">
        <f t="shared" si="20"/>
        <v>4.692021383660446</v>
      </c>
      <c r="Z32" s="156">
        <f t="shared" si="20"/>
        <v>4.755913175675675</v>
      </c>
      <c r="AA32" s="156">
        <f t="shared" si="20"/>
        <v>4.804931490642427</v>
      </c>
      <c r="AB32" s="156">
        <f t="shared" si="20"/>
        <v>4.838948419937795</v>
      </c>
      <c r="AC32" s="156">
        <f t="shared" si="20"/>
        <v>4.857875411438224</v>
      </c>
      <c r="AD32" s="156">
        <f t="shared" si="20"/>
        <v>4.861663269519519</v>
      </c>
      <c r="AE32" s="156">
        <f t="shared" si="20"/>
        <v>4.850302155056841</v>
      </c>
      <c r="AF32" s="156">
        <f t="shared" si="20"/>
        <v>4.823821585424709</v>
      </c>
      <c r="AG32" s="156">
        <f t="shared" si="20"/>
        <v>4.782290434496995</v>
      </c>
      <c r="AH32" s="156">
        <f t="shared" si="20"/>
        <v>4.725816932646931</v>
      </c>
      <c r="AI32" s="156">
        <f t="shared" si="20"/>
        <v>4.654548666747102</v>
      </c>
      <c r="AJ32" s="156">
        <f t="shared" si="20"/>
        <v>4.568672580169453</v>
      </c>
      <c r="AK32" s="156">
        <f t="shared" si="20"/>
        <v>4.468414972785282</v>
      </c>
      <c r="AL32" s="156">
        <f t="shared" si="20"/>
        <v>4.354041500965248</v>
      </c>
      <c r="AM32" s="156">
        <f t="shared" si="20"/>
        <v>4.225857177579362</v>
      </c>
      <c r="AN32" s="156">
        <f t="shared" si="20"/>
        <v>4.084206371996993</v>
      </c>
      <c r="AO32" s="156">
        <f t="shared" si="20"/>
        <v>3.929472810086867</v>
      </c>
      <c r="AP32" s="156">
        <f t="shared" si="20"/>
        <v>3.7620795742170694</v>
      </c>
      <c r="AQ32" s="156">
        <f t="shared" si="20"/>
        <v>3.582489103255036</v>
      </c>
      <c r="AR32" s="156">
        <f t="shared" si="20"/>
        <v>3.391203192567564</v>
      </c>
      <c r="AS32" s="156">
        <f t="shared" si="20"/>
        <v>3.1887629940208035</v>
      </c>
      <c r="AT32" s="156">
        <f t="shared" si="20"/>
        <v>2.9757490159802655</v>
      </c>
      <c r="AU32" s="156">
        <f t="shared" si="20"/>
        <v>2.752781123310809</v>
      </c>
      <c r="AV32" s="156">
        <f t="shared" si="20"/>
        <v>2.5205185373766628</v>
      </c>
      <c r="AW32" s="156">
        <f t="shared" si="20"/>
        <v>2.279659836041401</v>
      </c>
      <c r="AX32" s="156">
        <f t="shared" si="20"/>
        <v>2.0309429536679557</v>
      </c>
      <c r="AY32" s="156">
        <f t="shared" si="20"/>
        <v>1.7751451811186203</v>
      </c>
      <c r="AZ32" s="156">
        <f t="shared" si="20"/>
        <v>1.5130831657550468</v>
      </c>
      <c r="BA32" s="156">
        <f t="shared" si="20"/>
        <v>1.2456129114382288</v>
      </c>
      <c r="BB32" s="156">
        <f t="shared" si="20"/>
        <v>0.9736297785285338</v>
      </c>
      <c r="BC32" s="156">
        <f t="shared" si="20"/>
        <v>0.6980684838856771</v>
      </c>
      <c r="BD32" s="156">
        <f t="shared" si="20"/>
        <v>0.4199031008687351</v>
      </c>
      <c r="BE32" s="156">
        <f t="shared" si="20"/>
        <v>0.14014705933612986</v>
      </c>
      <c r="BF32" s="156">
        <f t="shared" si="20"/>
        <v>0</v>
      </c>
      <c r="BG32" s="156">
        <f t="shared" si="20"/>
        <v>0</v>
      </c>
      <c r="BH32" s="156">
        <f t="shared" si="20"/>
        <v>0</v>
      </c>
      <c r="BI32" s="156">
        <f t="shared" si="20"/>
        <v>0</v>
      </c>
      <c r="BJ32" s="156">
        <f t="shared" si="20"/>
        <v>0</v>
      </c>
      <c r="BK32" s="156">
        <f t="shared" si="20"/>
        <v>0</v>
      </c>
      <c r="BL32" s="156">
        <f t="shared" si="20"/>
        <v>0</v>
      </c>
      <c r="BM32" s="156">
        <f t="shared" si="20"/>
        <v>0</v>
      </c>
      <c r="BN32" s="156">
        <f t="shared" si="20"/>
        <v>0</v>
      </c>
      <c r="BO32" s="156">
        <f aca="true" t="shared" si="21" ref="BO32:CX32">IF(BO16&lt;$B$2,$B$9*$B$2*BO16*(($B$2^3)-(2*$B$2*BO16^2)+(BO16^3))/(24*$B$7*$B$12*$B$2)*10000000,0)</f>
        <v>0</v>
      </c>
      <c r="BP32" s="156">
        <f t="shared" si="21"/>
        <v>0</v>
      </c>
      <c r="BQ32" s="156">
        <f t="shared" si="21"/>
        <v>0</v>
      </c>
      <c r="BR32" s="156">
        <f t="shared" si="21"/>
        <v>0</v>
      </c>
      <c r="BS32" s="156">
        <f t="shared" si="21"/>
        <v>0</v>
      </c>
      <c r="BT32" s="156">
        <f t="shared" si="21"/>
        <v>0</v>
      </c>
      <c r="BU32" s="156">
        <f t="shared" si="21"/>
        <v>0</v>
      </c>
      <c r="BV32" s="156">
        <f t="shared" si="21"/>
        <v>0</v>
      </c>
      <c r="BW32" s="156">
        <f t="shared" si="21"/>
        <v>0</v>
      </c>
      <c r="BX32" s="156">
        <f t="shared" si="21"/>
        <v>0</v>
      </c>
      <c r="BY32" s="156">
        <f t="shared" si="21"/>
        <v>0</v>
      </c>
      <c r="BZ32" s="156">
        <f t="shared" si="21"/>
        <v>0</v>
      </c>
      <c r="CA32" s="156">
        <f t="shared" si="21"/>
        <v>0</v>
      </c>
      <c r="CB32" s="156">
        <f t="shared" si="21"/>
        <v>0</v>
      </c>
      <c r="CC32" s="156">
        <f t="shared" si="21"/>
        <v>0</v>
      </c>
      <c r="CD32" s="156">
        <f t="shared" si="21"/>
        <v>0</v>
      </c>
      <c r="CE32" s="156">
        <f t="shared" si="21"/>
        <v>0</v>
      </c>
      <c r="CF32" s="156">
        <f t="shared" si="21"/>
        <v>0</v>
      </c>
      <c r="CG32" s="156">
        <f t="shared" si="21"/>
        <v>0</v>
      </c>
      <c r="CH32" s="156">
        <f t="shared" si="21"/>
        <v>0</v>
      </c>
      <c r="CI32" s="156">
        <f t="shared" si="21"/>
        <v>0</v>
      </c>
      <c r="CJ32" s="156">
        <f t="shared" si="21"/>
        <v>0</v>
      </c>
      <c r="CK32" s="156">
        <f t="shared" si="21"/>
        <v>0</v>
      </c>
      <c r="CL32" s="156">
        <f t="shared" si="21"/>
        <v>0</v>
      </c>
      <c r="CM32" s="156">
        <f t="shared" si="21"/>
        <v>0</v>
      </c>
      <c r="CN32" s="156">
        <f t="shared" si="21"/>
        <v>0</v>
      </c>
      <c r="CO32" s="156">
        <f t="shared" si="21"/>
        <v>0</v>
      </c>
      <c r="CP32" s="156">
        <f t="shared" si="21"/>
        <v>0</v>
      </c>
      <c r="CQ32" s="156">
        <f t="shared" si="21"/>
        <v>0</v>
      </c>
      <c r="CR32" s="156">
        <f t="shared" si="21"/>
        <v>0</v>
      </c>
      <c r="CS32" s="156">
        <f t="shared" si="21"/>
        <v>0</v>
      </c>
      <c r="CT32" s="156">
        <f t="shared" si="21"/>
        <v>0</v>
      </c>
      <c r="CU32" s="156">
        <f t="shared" si="21"/>
        <v>0</v>
      </c>
      <c r="CV32" s="156">
        <f t="shared" si="21"/>
        <v>0</v>
      </c>
      <c r="CW32" s="156">
        <f t="shared" si="21"/>
        <v>0</v>
      </c>
      <c r="CX32" s="156">
        <f t="shared" si="21"/>
        <v>0</v>
      </c>
      <c r="CY32" s="156">
        <f>IF(CY16&lt;$B$2,$B$9*$B$2*CY16*(($B$2^3)-(2*$B$2*CY16^2)+(CY16^3))/(24*$B$7*$B$12*$B$2)*10000000,0)</f>
        <v>4.804931490642427</v>
      </c>
      <c r="DA32" s="156">
        <f>MAX(B32:CY32)</f>
        <v>4.861663269519519</v>
      </c>
      <c r="DB32" s="156">
        <f>MIN(B32:CY32)</f>
        <v>0</v>
      </c>
      <c r="DC32" s="156">
        <f>ABS(DB32)</f>
        <v>0</v>
      </c>
      <c r="DE32" s="156">
        <f>MAX(DA32,DC32)</f>
        <v>4.861663269519519</v>
      </c>
    </row>
    <row r="33" spans="1:109" ht="11.25">
      <c r="A33" s="156" t="s">
        <v>341</v>
      </c>
      <c r="B33" s="156">
        <f>IF(B16&gt;=$B$2,0,IF(B16&lt;=$B$5,$B$10*$B$6*B16*($B$2^2-$B$6^2-B16^2)/(6*$B$7*$B$12*$B$2)*10000000,$B$10*$B$5*($B$2-B16)*($B$2^2-$B$5^2-($B$2-B16)^2)/(6*$B$7*$B$12*$B$2)*10000000))</f>
        <v>0</v>
      </c>
      <c r="C33" s="156">
        <f aca="true" t="shared" si="22" ref="C33:BN33">IF(C16&gt;=$B$2,0,IF(C16&lt;=$B$5,$B$10*$B$6*C16*($B$2^2-$B$6^2-C16^2)/(6*$B$7*$B$12*$B$2)*10000000,$B$10*$B$5*($B$2-C16)*($B$2^2-$B$5^2-($B$2-C16)^2)/(6*$B$7*$B$12*$B$2)*10000000))</f>
        <v>0</v>
      </c>
      <c r="D33" s="156">
        <f t="shared" si="22"/>
        <v>0</v>
      </c>
      <c r="E33" s="156">
        <f t="shared" si="22"/>
        <v>0</v>
      </c>
      <c r="F33" s="156">
        <f t="shared" si="22"/>
        <v>0</v>
      </c>
      <c r="G33" s="156">
        <f t="shared" si="22"/>
        <v>0</v>
      </c>
      <c r="H33" s="156">
        <f t="shared" si="22"/>
        <v>0</v>
      </c>
      <c r="I33" s="156">
        <f t="shared" si="22"/>
        <v>0</v>
      </c>
      <c r="J33" s="156">
        <f t="shared" si="22"/>
        <v>0</v>
      </c>
      <c r="K33" s="156">
        <f t="shared" si="22"/>
        <v>0</v>
      </c>
      <c r="L33" s="156">
        <f t="shared" si="22"/>
        <v>0</v>
      </c>
      <c r="M33" s="156">
        <f t="shared" si="22"/>
        <v>0</v>
      </c>
      <c r="N33" s="156">
        <f t="shared" si="22"/>
        <v>0</v>
      </c>
      <c r="O33" s="156">
        <f t="shared" si="22"/>
        <v>0</v>
      </c>
      <c r="P33" s="156">
        <f t="shared" si="22"/>
        <v>0</v>
      </c>
      <c r="Q33" s="156">
        <f t="shared" si="22"/>
        <v>0</v>
      </c>
      <c r="R33" s="156">
        <f t="shared" si="22"/>
        <v>0</v>
      </c>
      <c r="S33" s="156">
        <f t="shared" si="22"/>
        <v>0</v>
      </c>
      <c r="T33" s="156">
        <f t="shared" si="22"/>
        <v>0</v>
      </c>
      <c r="U33" s="156">
        <f t="shared" si="22"/>
        <v>0</v>
      </c>
      <c r="V33" s="156">
        <f t="shared" si="22"/>
        <v>0</v>
      </c>
      <c r="W33" s="156">
        <f t="shared" si="22"/>
        <v>0</v>
      </c>
      <c r="X33" s="156">
        <f t="shared" si="22"/>
        <v>0</v>
      </c>
      <c r="Y33" s="156">
        <f t="shared" si="22"/>
        <v>0</v>
      </c>
      <c r="Z33" s="156">
        <f t="shared" si="22"/>
        <v>0</v>
      </c>
      <c r="AA33" s="156">
        <f t="shared" si="22"/>
        <v>0</v>
      </c>
      <c r="AB33" s="156">
        <f t="shared" si="22"/>
        <v>0</v>
      </c>
      <c r="AC33" s="156">
        <f t="shared" si="22"/>
        <v>0</v>
      </c>
      <c r="AD33" s="156">
        <f t="shared" si="22"/>
        <v>0</v>
      </c>
      <c r="AE33" s="156">
        <f t="shared" si="22"/>
        <v>0</v>
      </c>
      <c r="AF33" s="156">
        <f t="shared" si="22"/>
        <v>0</v>
      </c>
      <c r="AG33" s="156">
        <f t="shared" si="22"/>
        <v>0</v>
      </c>
      <c r="AH33" s="156">
        <f t="shared" si="22"/>
        <v>0</v>
      </c>
      <c r="AI33" s="156">
        <f t="shared" si="22"/>
        <v>0</v>
      </c>
      <c r="AJ33" s="156">
        <f t="shared" si="22"/>
        <v>0</v>
      </c>
      <c r="AK33" s="156">
        <f t="shared" si="22"/>
        <v>0</v>
      </c>
      <c r="AL33" s="156">
        <f t="shared" si="22"/>
        <v>0</v>
      </c>
      <c r="AM33" s="156">
        <f t="shared" si="22"/>
        <v>0</v>
      </c>
      <c r="AN33" s="156">
        <f t="shared" si="22"/>
        <v>0</v>
      </c>
      <c r="AO33" s="156">
        <f t="shared" si="22"/>
        <v>0</v>
      </c>
      <c r="AP33" s="156">
        <f t="shared" si="22"/>
        <v>0</v>
      </c>
      <c r="AQ33" s="156">
        <f t="shared" si="22"/>
        <v>0</v>
      </c>
      <c r="AR33" s="156">
        <f t="shared" si="22"/>
        <v>0</v>
      </c>
      <c r="AS33" s="156">
        <f t="shared" si="22"/>
        <v>0</v>
      </c>
      <c r="AT33" s="156">
        <f t="shared" si="22"/>
        <v>0</v>
      </c>
      <c r="AU33" s="156">
        <f t="shared" si="22"/>
        <v>0</v>
      </c>
      <c r="AV33" s="156">
        <f t="shared" si="22"/>
        <v>0</v>
      </c>
      <c r="AW33" s="156">
        <f t="shared" si="22"/>
        <v>0</v>
      </c>
      <c r="AX33" s="156">
        <f t="shared" si="22"/>
        <v>0</v>
      </c>
      <c r="AY33" s="156">
        <f t="shared" si="22"/>
        <v>0</v>
      </c>
      <c r="AZ33" s="156">
        <f t="shared" si="22"/>
        <v>0</v>
      </c>
      <c r="BA33" s="156">
        <f t="shared" si="22"/>
        <v>0</v>
      </c>
      <c r="BB33" s="156">
        <f t="shared" si="22"/>
        <v>0</v>
      </c>
      <c r="BC33" s="156">
        <f t="shared" si="22"/>
        <v>0</v>
      </c>
      <c r="BD33" s="156">
        <f t="shared" si="22"/>
        <v>0</v>
      </c>
      <c r="BE33" s="156">
        <f t="shared" si="22"/>
        <v>0</v>
      </c>
      <c r="BF33" s="156">
        <f t="shared" si="22"/>
        <v>0</v>
      </c>
      <c r="BG33" s="156">
        <f t="shared" si="22"/>
        <v>0</v>
      </c>
      <c r="BH33" s="156">
        <f t="shared" si="22"/>
        <v>0</v>
      </c>
      <c r="BI33" s="156">
        <f t="shared" si="22"/>
        <v>0</v>
      </c>
      <c r="BJ33" s="156">
        <f t="shared" si="22"/>
        <v>0</v>
      </c>
      <c r="BK33" s="156">
        <f t="shared" si="22"/>
        <v>0</v>
      </c>
      <c r="BL33" s="156">
        <f t="shared" si="22"/>
        <v>0</v>
      </c>
      <c r="BM33" s="156">
        <f t="shared" si="22"/>
        <v>0</v>
      </c>
      <c r="BN33" s="156">
        <f t="shared" si="22"/>
        <v>0</v>
      </c>
      <c r="BO33" s="156">
        <f aca="true" t="shared" si="23" ref="BO33:CX33">IF(BO16&gt;=$B$2,0,IF(BO16&lt;=$B$5,$B$10*$B$6*BO16*($B$2^2-$B$6^2-BO16^2)/(6*$B$7*$B$12*$B$2)*10000000,$B$10*$B$5*($B$2-BO16)*($B$2^2-$B$5^2-($B$2-BO16)^2)/(6*$B$7*$B$12*$B$2)*10000000))</f>
        <v>0</v>
      </c>
      <c r="BP33" s="156">
        <f t="shared" si="23"/>
        <v>0</v>
      </c>
      <c r="BQ33" s="156">
        <f t="shared" si="23"/>
        <v>0</v>
      </c>
      <c r="BR33" s="156">
        <f t="shared" si="23"/>
        <v>0</v>
      </c>
      <c r="BS33" s="156">
        <f t="shared" si="23"/>
        <v>0</v>
      </c>
      <c r="BT33" s="156">
        <f t="shared" si="23"/>
        <v>0</v>
      </c>
      <c r="BU33" s="156">
        <f t="shared" si="23"/>
        <v>0</v>
      </c>
      <c r="BV33" s="156">
        <f t="shared" si="23"/>
        <v>0</v>
      </c>
      <c r="BW33" s="156">
        <f t="shared" si="23"/>
        <v>0</v>
      </c>
      <c r="BX33" s="156">
        <f t="shared" si="23"/>
        <v>0</v>
      </c>
      <c r="BY33" s="156">
        <f t="shared" si="23"/>
        <v>0</v>
      </c>
      <c r="BZ33" s="156">
        <f t="shared" si="23"/>
        <v>0</v>
      </c>
      <c r="CA33" s="156">
        <f t="shared" si="23"/>
        <v>0</v>
      </c>
      <c r="CB33" s="156">
        <f t="shared" si="23"/>
        <v>0</v>
      </c>
      <c r="CC33" s="156">
        <f t="shared" si="23"/>
        <v>0</v>
      </c>
      <c r="CD33" s="156">
        <f t="shared" si="23"/>
        <v>0</v>
      </c>
      <c r="CE33" s="156">
        <f t="shared" si="23"/>
        <v>0</v>
      </c>
      <c r="CF33" s="156">
        <f t="shared" si="23"/>
        <v>0</v>
      </c>
      <c r="CG33" s="156">
        <f t="shared" si="23"/>
        <v>0</v>
      </c>
      <c r="CH33" s="156">
        <f t="shared" si="23"/>
        <v>0</v>
      </c>
      <c r="CI33" s="156">
        <f t="shared" si="23"/>
        <v>0</v>
      </c>
      <c r="CJ33" s="156">
        <f t="shared" si="23"/>
        <v>0</v>
      </c>
      <c r="CK33" s="156">
        <f t="shared" si="23"/>
        <v>0</v>
      </c>
      <c r="CL33" s="156">
        <f t="shared" si="23"/>
        <v>0</v>
      </c>
      <c r="CM33" s="156">
        <f t="shared" si="23"/>
        <v>0</v>
      </c>
      <c r="CN33" s="156">
        <f t="shared" si="23"/>
        <v>0</v>
      </c>
      <c r="CO33" s="156">
        <f t="shared" si="23"/>
        <v>0</v>
      </c>
      <c r="CP33" s="156">
        <f t="shared" si="23"/>
        <v>0</v>
      </c>
      <c r="CQ33" s="156">
        <f t="shared" si="23"/>
        <v>0</v>
      </c>
      <c r="CR33" s="156">
        <f t="shared" si="23"/>
        <v>0</v>
      </c>
      <c r="CS33" s="156">
        <f t="shared" si="23"/>
        <v>0</v>
      </c>
      <c r="CT33" s="156">
        <f t="shared" si="23"/>
        <v>0</v>
      </c>
      <c r="CU33" s="156">
        <f t="shared" si="23"/>
        <v>0</v>
      </c>
      <c r="CV33" s="156">
        <f t="shared" si="23"/>
        <v>0</v>
      </c>
      <c r="CW33" s="156">
        <f t="shared" si="23"/>
        <v>0</v>
      </c>
      <c r="CX33" s="156">
        <f t="shared" si="23"/>
        <v>0</v>
      </c>
      <c r="CY33" s="156">
        <f>IF(CY16&gt;=$B$2,0,IF(CY16&lt;=$B$5,$B$10*$B$6*CY16*($B$2^2-$B$6^2-CY16^2)/(6*$B$7*$B$12*$B$2)*10000000,$B$10*$B$5*($B$2-CY16)*($B$2^2-$B$5^2-($B$2-CY16)^2)/(6*$B$7*$B$12*$B$2)*10000000))</f>
        <v>0</v>
      </c>
      <c r="DA33" s="156">
        <f>MAX(B33:CY33)</f>
        <v>0</v>
      </c>
      <c r="DB33" s="156">
        <f>MIN(B33:CY33)</f>
        <v>0</v>
      </c>
      <c r="DC33" s="156">
        <f>ABS(DB33)</f>
        <v>0</v>
      </c>
      <c r="DE33" s="156">
        <f>MAX(DA33,DC33)</f>
        <v>0</v>
      </c>
    </row>
    <row r="34" spans="1:109" ht="11.25">
      <c r="A34" s="156" t="s">
        <v>75</v>
      </c>
      <c r="B34" s="156">
        <f>B32+B33</f>
        <v>0</v>
      </c>
      <c r="C34" s="156">
        <f aca="true" t="shared" si="24" ref="C34:BN34">C32+C33</f>
        <v>0.28015903568747325</v>
      </c>
      <c r="D34" s="156">
        <f t="shared" si="24"/>
        <v>0.5592488864757615</v>
      </c>
      <c r="E34" s="156">
        <f t="shared" si="24"/>
        <v>0.8362364442567567</v>
      </c>
      <c r="F34" s="156">
        <f t="shared" si="24"/>
        <v>1.1101279574217073</v>
      </c>
      <c r="G34" s="156">
        <f t="shared" si="24"/>
        <v>1.3799690308612182</v>
      </c>
      <c r="H34" s="156">
        <f t="shared" si="24"/>
        <v>1.6448446259652503</v>
      </c>
      <c r="I34" s="156">
        <f t="shared" si="24"/>
        <v>1.9038790606231226</v>
      </c>
      <c r="J34" s="156">
        <f t="shared" si="24"/>
        <v>2.156236009223509</v>
      </c>
      <c r="K34" s="156">
        <f t="shared" si="24"/>
        <v>2.40111850265444</v>
      </c>
      <c r="L34" s="156">
        <f t="shared" si="24"/>
        <v>2.6377689283033026</v>
      </c>
      <c r="M34" s="156">
        <f t="shared" si="24"/>
        <v>2.865469030056842</v>
      </c>
      <c r="N34" s="156">
        <f t="shared" si="24"/>
        <v>3.0835399083011574</v>
      </c>
      <c r="O34" s="156">
        <f t="shared" si="24"/>
        <v>3.291342019921707</v>
      </c>
      <c r="P34" s="156">
        <f t="shared" si="24"/>
        <v>3.4882751783033035</v>
      </c>
      <c r="Q34" s="156">
        <f t="shared" si="24"/>
        <v>3.6737785533301146</v>
      </c>
      <c r="R34" s="156">
        <f t="shared" si="24"/>
        <v>3.847330671385672</v>
      </c>
      <c r="S34" s="156">
        <f t="shared" si="24"/>
        <v>4.008449415352853</v>
      </c>
      <c r="T34" s="156">
        <f t="shared" si="24"/>
        <v>4.156692024613901</v>
      </c>
      <c r="U34" s="156">
        <f t="shared" si="24"/>
        <v>4.291655095050407</v>
      </c>
      <c r="V34" s="156">
        <f t="shared" si="24"/>
        <v>4.412974579043329</v>
      </c>
      <c r="W34" s="156">
        <f t="shared" si="24"/>
        <v>4.520325785472972</v>
      </c>
      <c r="X34" s="156">
        <f t="shared" si="24"/>
        <v>4.613423379719005</v>
      </c>
      <c r="Y34" s="156">
        <f t="shared" si="24"/>
        <v>4.692021383660446</v>
      </c>
      <c r="Z34" s="156">
        <f t="shared" si="24"/>
        <v>4.755913175675675</v>
      </c>
      <c r="AA34" s="156">
        <f t="shared" si="24"/>
        <v>4.804931490642427</v>
      </c>
      <c r="AB34" s="156">
        <f t="shared" si="24"/>
        <v>4.838948419937795</v>
      </c>
      <c r="AC34" s="156">
        <f t="shared" si="24"/>
        <v>4.857875411438224</v>
      </c>
      <c r="AD34" s="156">
        <f t="shared" si="24"/>
        <v>4.861663269519519</v>
      </c>
      <c r="AE34" s="156">
        <f t="shared" si="24"/>
        <v>4.850302155056841</v>
      </c>
      <c r="AF34" s="156">
        <f t="shared" si="24"/>
        <v>4.823821585424709</v>
      </c>
      <c r="AG34" s="156">
        <f t="shared" si="24"/>
        <v>4.782290434496995</v>
      </c>
      <c r="AH34" s="156">
        <f t="shared" si="24"/>
        <v>4.725816932646931</v>
      </c>
      <c r="AI34" s="156">
        <f t="shared" si="24"/>
        <v>4.654548666747102</v>
      </c>
      <c r="AJ34" s="156">
        <f t="shared" si="24"/>
        <v>4.568672580169453</v>
      </c>
      <c r="AK34" s="156">
        <f t="shared" si="24"/>
        <v>4.468414972785282</v>
      </c>
      <c r="AL34" s="156">
        <f t="shared" si="24"/>
        <v>4.354041500965248</v>
      </c>
      <c r="AM34" s="156">
        <f t="shared" si="24"/>
        <v>4.225857177579362</v>
      </c>
      <c r="AN34" s="156">
        <f t="shared" si="24"/>
        <v>4.084206371996993</v>
      </c>
      <c r="AO34" s="156">
        <f t="shared" si="24"/>
        <v>3.929472810086867</v>
      </c>
      <c r="AP34" s="156">
        <f t="shared" si="24"/>
        <v>3.7620795742170694</v>
      </c>
      <c r="AQ34" s="156">
        <f t="shared" si="24"/>
        <v>3.582489103255036</v>
      </c>
      <c r="AR34" s="156">
        <f t="shared" si="24"/>
        <v>3.391203192567564</v>
      </c>
      <c r="AS34" s="156">
        <f t="shared" si="24"/>
        <v>3.1887629940208035</v>
      </c>
      <c r="AT34" s="156">
        <f t="shared" si="24"/>
        <v>2.9757490159802655</v>
      </c>
      <c r="AU34" s="156">
        <f t="shared" si="24"/>
        <v>2.752781123310809</v>
      </c>
      <c r="AV34" s="156">
        <f t="shared" si="24"/>
        <v>2.5205185373766628</v>
      </c>
      <c r="AW34" s="156">
        <f t="shared" si="24"/>
        <v>2.279659836041401</v>
      </c>
      <c r="AX34" s="156">
        <f t="shared" si="24"/>
        <v>2.0309429536679557</v>
      </c>
      <c r="AY34" s="156">
        <f t="shared" si="24"/>
        <v>1.7751451811186203</v>
      </c>
      <c r="AZ34" s="156">
        <f t="shared" si="24"/>
        <v>1.5130831657550468</v>
      </c>
      <c r="BA34" s="156">
        <f t="shared" si="24"/>
        <v>1.2456129114382288</v>
      </c>
      <c r="BB34" s="156">
        <f t="shared" si="24"/>
        <v>0.9736297785285338</v>
      </c>
      <c r="BC34" s="156">
        <f t="shared" si="24"/>
        <v>0.6980684838856771</v>
      </c>
      <c r="BD34" s="156">
        <f t="shared" si="24"/>
        <v>0.4199031008687351</v>
      </c>
      <c r="BE34" s="156">
        <f t="shared" si="24"/>
        <v>0.14014705933612986</v>
      </c>
      <c r="BF34" s="156">
        <f t="shared" si="24"/>
        <v>0</v>
      </c>
      <c r="BG34" s="156">
        <f t="shared" si="24"/>
        <v>0</v>
      </c>
      <c r="BH34" s="156">
        <f t="shared" si="24"/>
        <v>0</v>
      </c>
      <c r="BI34" s="156">
        <f t="shared" si="24"/>
        <v>0</v>
      </c>
      <c r="BJ34" s="156">
        <f t="shared" si="24"/>
        <v>0</v>
      </c>
      <c r="BK34" s="156">
        <f t="shared" si="24"/>
        <v>0</v>
      </c>
      <c r="BL34" s="156">
        <f t="shared" si="24"/>
        <v>0</v>
      </c>
      <c r="BM34" s="156">
        <f t="shared" si="24"/>
        <v>0</v>
      </c>
      <c r="BN34" s="156">
        <f t="shared" si="24"/>
        <v>0</v>
      </c>
      <c r="BO34" s="156">
        <f aca="true" t="shared" si="25" ref="BO34:CY34">BO32+BO33</f>
        <v>0</v>
      </c>
      <c r="BP34" s="156">
        <f t="shared" si="25"/>
        <v>0</v>
      </c>
      <c r="BQ34" s="156">
        <f t="shared" si="25"/>
        <v>0</v>
      </c>
      <c r="BR34" s="156">
        <f t="shared" si="25"/>
        <v>0</v>
      </c>
      <c r="BS34" s="156">
        <f t="shared" si="25"/>
        <v>0</v>
      </c>
      <c r="BT34" s="156">
        <f t="shared" si="25"/>
        <v>0</v>
      </c>
      <c r="BU34" s="156">
        <f t="shared" si="25"/>
        <v>0</v>
      </c>
      <c r="BV34" s="156">
        <f t="shared" si="25"/>
        <v>0</v>
      </c>
      <c r="BW34" s="156">
        <f t="shared" si="25"/>
        <v>0</v>
      </c>
      <c r="BX34" s="156">
        <f t="shared" si="25"/>
        <v>0</v>
      </c>
      <c r="BY34" s="156">
        <f t="shared" si="25"/>
        <v>0</v>
      </c>
      <c r="BZ34" s="156">
        <f t="shared" si="25"/>
        <v>0</v>
      </c>
      <c r="CA34" s="156">
        <f t="shared" si="25"/>
        <v>0</v>
      </c>
      <c r="CB34" s="156">
        <f t="shared" si="25"/>
        <v>0</v>
      </c>
      <c r="CC34" s="156">
        <f t="shared" si="25"/>
        <v>0</v>
      </c>
      <c r="CD34" s="156">
        <f t="shared" si="25"/>
        <v>0</v>
      </c>
      <c r="CE34" s="156">
        <f t="shared" si="25"/>
        <v>0</v>
      </c>
      <c r="CF34" s="156">
        <f t="shared" si="25"/>
        <v>0</v>
      </c>
      <c r="CG34" s="156">
        <f t="shared" si="25"/>
        <v>0</v>
      </c>
      <c r="CH34" s="156">
        <f t="shared" si="25"/>
        <v>0</v>
      </c>
      <c r="CI34" s="156">
        <f t="shared" si="25"/>
        <v>0</v>
      </c>
      <c r="CJ34" s="156">
        <f t="shared" si="25"/>
        <v>0</v>
      </c>
      <c r="CK34" s="156">
        <f t="shared" si="25"/>
        <v>0</v>
      </c>
      <c r="CL34" s="156">
        <f t="shared" si="25"/>
        <v>0</v>
      </c>
      <c r="CM34" s="156">
        <f t="shared" si="25"/>
        <v>0</v>
      </c>
      <c r="CN34" s="156">
        <f t="shared" si="25"/>
        <v>0</v>
      </c>
      <c r="CO34" s="156">
        <f t="shared" si="25"/>
        <v>0</v>
      </c>
      <c r="CP34" s="156">
        <f t="shared" si="25"/>
        <v>0</v>
      </c>
      <c r="CQ34" s="156">
        <f t="shared" si="25"/>
        <v>0</v>
      </c>
      <c r="CR34" s="156">
        <f t="shared" si="25"/>
        <v>0</v>
      </c>
      <c r="CS34" s="156">
        <f t="shared" si="25"/>
        <v>0</v>
      </c>
      <c r="CT34" s="156">
        <f t="shared" si="25"/>
        <v>0</v>
      </c>
      <c r="CU34" s="156">
        <f t="shared" si="25"/>
        <v>0</v>
      </c>
      <c r="CV34" s="156">
        <f t="shared" si="25"/>
        <v>0</v>
      </c>
      <c r="CW34" s="156">
        <f t="shared" si="25"/>
        <v>0</v>
      </c>
      <c r="CX34" s="156">
        <f t="shared" si="25"/>
        <v>0</v>
      </c>
      <c r="CY34" s="156">
        <f t="shared" si="25"/>
        <v>4.804931490642427</v>
      </c>
      <c r="DA34" s="156">
        <f>MAX(B34:CY34)</f>
        <v>4.861663269519519</v>
      </c>
      <c r="DB34" s="156">
        <f>MIN(B34:CY34)</f>
        <v>0</v>
      </c>
      <c r="DC34" s="156">
        <f>ABS(DB34)</f>
        <v>0</v>
      </c>
      <c r="DE34" s="156">
        <f>MAX(DA34,DC34)</f>
        <v>4.861663269519519</v>
      </c>
    </row>
    <row r="35" ht="11.25">
      <c r="CY35" s="156"/>
    </row>
    <row r="36" spans="1:105" ht="11.25">
      <c r="A36" s="157" t="s">
        <v>143</v>
      </c>
      <c r="CY36" s="156"/>
      <c r="DA36" s="157" t="s">
        <v>143</v>
      </c>
    </row>
    <row r="37" ht="11.25">
      <c r="CY37" s="156"/>
    </row>
    <row r="38" spans="1:109" ht="11.25">
      <c r="A38" s="156" t="s">
        <v>317</v>
      </c>
      <c r="B38" s="156">
        <f>IF(B16&lt;=$B$2,($B$3/12)*((6*$B$2*B16)-(6*B16^2)-($B$2^2)),0)</f>
        <v>-24.619860703125</v>
      </c>
      <c r="C38" s="156">
        <f aca="true" t="shared" si="26" ref="C38:BN38">IF(C16&lt;=$B$2,($B$3/12)*((6*$B$2*C16)-(6*C16^2)-($B$2^2)),0)</f>
        <v>-22.006211015625002</v>
      </c>
      <c r="D38" s="156">
        <f t="shared" si="26"/>
        <v>-19.488475078125003</v>
      </c>
      <c r="E38" s="156">
        <f t="shared" si="26"/>
        <v>-17.066652890625</v>
      </c>
      <c r="F38" s="156">
        <f t="shared" si="26"/>
        <v>-14.740744453125</v>
      </c>
      <c r="G38" s="156">
        <f t="shared" si="26"/>
        <v>-12.510749765625</v>
      </c>
      <c r="H38" s="156">
        <f t="shared" si="26"/>
        <v>-10.376668828125002</v>
      </c>
      <c r="I38" s="156">
        <f t="shared" si="26"/>
        <v>-8.338501640625001</v>
      </c>
      <c r="J38" s="156">
        <f t="shared" si="26"/>
        <v>-6.396248203125001</v>
      </c>
      <c r="K38" s="156">
        <f t="shared" si="26"/>
        <v>-4.5499085156250025</v>
      </c>
      <c r="L38" s="156">
        <f t="shared" si="26"/>
        <v>-2.799482578125007</v>
      </c>
      <c r="M38" s="156">
        <f t="shared" si="26"/>
        <v>-1.1449703906250008</v>
      </c>
      <c r="N38" s="156">
        <f t="shared" si="26"/>
        <v>0.4136280468749958</v>
      </c>
      <c r="O38" s="156">
        <f t="shared" si="26"/>
        <v>1.8763127343750003</v>
      </c>
      <c r="P38" s="156">
        <f t="shared" si="26"/>
        <v>3.243083671875001</v>
      </c>
      <c r="Q38" s="156">
        <f t="shared" si="26"/>
        <v>4.513940859374999</v>
      </c>
      <c r="R38" s="156">
        <f t="shared" si="26"/>
        <v>5.688884296875003</v>
      </c>
      <c r="S38" s="156">
        <f t="shared" si="26"/>
        <v>6.7679139843749985</v>
      </c>
      <c r="T38" s="156">
        <f t="shared" si="26"/>
        <v>7.751029921875002</v>
      </c>
      <c r="U38" s="156">
        <f t="shared" si="26"/>
        <v>8.638232109375007</v>
      </c>
      <c r="V38" s="156">
        <f t="shared" si="26"/>
        <v>9.429520546874997</v>
      </c>
      <c r="W38" s="156">
        <f t="shared" si="26"/>
        <v>10.124895234375002</v>
      </c>
      <c r="X38" s="156">
        <f t="shared" si="26"/>
        <v>10.724356171875007</v>
      </c>
      <c r="Y38" s="156">
        <f t="shared" si="26"/>
        <v>11.227903359374997</v>
      </c>
      <c r="Z38" s="156">
        <f t="shared" si="26"/>
        <v>11.635536796874996</v>
      </c>
      <c r="AA38" s="156">
        <f t="shared" si="26"/>
        <v>11.947256484375002</v>
      </c>
      <c r="AB38" s="156">
        <f t="shared" si="26"/>
        <v>12.163062421874999</v>
      </c>
      <c r="AC38" s="156">
        <f t="shared" si="26"/>
        <v>12.282954609374999</v>
      </c>
      <c r="AD38" s="156">
        <f t="shared" si="26"/>
        <v>12.306933046875004</v>
      </c>
      <c r="AE38" s="156">
        <f t="shared" si="26"/>
        <v>12.234997734374996</v>
      </c>
      <c r="AF38" s="156">
        <f t="shared" si="26"/>
        <v>12.067148671874996</v>
      </c>
      <c r="AG38" s="156">
        <f t="shared" si="26"/>
        <v>11.803385859374986</v>
      </c>
      <c r="AH38" s="156">
        <f t="shared" si="26"/>
        <v>11.443709296874994</v>
      </c>
      <c r="AI38" s="156">
        <f t="shared" si="26"/>
        <v>10.988118984374989</v>
      </c>
      <c r="AJ38" s="156">
        <f t="shared" si="26"/>
        <v>10.436614921874979</v>
      </c>
      <c r="AK38" s="156">
        <f t="shared" si="26"/>
        <v>9.789197109374989</v>
      </c>
      <c r="AL38" s="156">
        <f t="shared" si="26"/>
        <v>9.045865546874984</v>
      </c>
      <c r="AM38" s="156">
        <f t="shared" si="26"/>
        <v>8.206620234374974</v>
      </c>
      <c r="AN38" s="156">
        <f t="shared" si="26"/>
        <v>7.271461171874972</v>
      </c>
      <c r="AO38" s="156">
        <f t="shared" si="26"/>
        <v>6.240388359374967</v>
      </c>
      <c r="AP38" s="156">
        <f t="shared" si="26"/>
        <v>5.11340179687497</v>
      </c>
      <c r="AQ38" s="156">
        <f t="shared" si="26"/>
        <v>3.890501484374969</v>
      </c>
      <c r="AR38" s="156">
        <f t="shared" si="26"/>
        <v>2.5716874218749757</v>
      </c>
      <c r="AS38" s="156">
        <f t="shared" si="26"/>
        <v>1.1569596093749785</v>
      </c>
      <c r="AT38" s="156">
        <f t="shared" si="26"/>
        <v>-0.3536819531250106</v>
      </c>
      <c r="AU38" s="156">
        <f t="shared" si="26"/>
        <v>-1.9602372656250033</v>
      </c>
      <c r="AV38" s="156">
        <f t="shared" si="26"/>
        <v>-3.662706328125</v>
      </c>
      <c r="AW38" s="156">
        <f t="shared" si="26"/>
        <v>-5.461089140625</v>
      </c>
      <c r="AX38" s="156">
        <f t="shared" si="26"/>
        <v>-7.355385703124981</v>
      </c>
      <c r="AY38" s="156">
        <f t="shared" si="26"/>
        <v>-9.345596015624988</v>
      </c>
      <c r="AZ38" s="156">
        <f t="shared" si="26"/>
        <v>-11.431720078124977</v>
      </c>
      <c r="BA38" s="156">
        <f t="shared" si="26"/>
        <v>-13.613757890624946</v>
      </c>
      <c r="BB38" s="156">
        <f t="shared" si="26"/>
        <v>-15.891709453124943</v>
      </c>
      <c r="BC38" s="156">
        <f t="shared" si="26"/>
        <v>-18.26557476562494</v>
      </c>
      <c r="BD38" s="156">
        <f t="shared" si="26"/>
        <v>-20.73535382812492</v>
      </c>
      <c r="BE38" s="156">
        <f t="shared" si="26"/>
        <v>-23.30104664062493</v>
      </c>
      <c r="BF38" s="156">
        <f t="shared" si="26"/>
        <v>0</v>
      </c>
      <c r="BG38" s="156">
        <f t="shared" si="26"/>
        <v>0</v>
      </c>
      <c r="BH38" s="156">
        <f t="shared" si="26"/>
        <v>0</v>
      </c>
      <c r="BI38" s="156">
        <f t="shared" si="26"/>
        <v>0</v>
      </c>
      <c r="BJ38" s="156">
        <f t="shared" si="26"/>
        <v>0</v>
      </c>
      <c r="BK38" s="156">
        <f t="shared" si="26"/>
        <v>0</v>
      </c>
      <c r="BL38" s="156">
        <f t="shared" si="26"/>
        <v>0</v>
      </c>
      <c r="BM38" s="156">
        <f t="shared" si="26"/>
        <v>0</v>
      </c>
      <c r="BN38" s="156">
        <f t="shared" si="26"/>
        <v>0</v>
      </c>
      <c r="BO38" s="156">
        <f aca="true" t="shared" si="27" ref="BO38:CY38">IF(BO16&lt;=$B$2,($B$3/12)*((6*$B$2*BO16)-(6*BO16^2)-($B$2^2)),0)</f>
        <v>0</v>
      </c>
      <c r="BP38" s="156">
        <f t="shared" si="27"/>
        <v>0</v>
      </c>
      <c r="BQ38" s="156">
        <f t="shared" si="27"/>
        <v>0</v>
      </c>
      <c r="BR38" s="156">
        <f t="shared" si="27"/>
        <v>0</v>
      </c>
      <c r="BS38" s="156">
        <f t="shared" si="27"/>
        <v>0</v>
      </c>
      <c r="BT38" s="156">
        <f t="shared" si="27"/>
        <v>0</v>
      </c>
      <c r="BU38" s="156">
        <f t="shared" si="27"/>
        <v>0</v>
      </c>
      <c r="BV38" s="156">
        <f t="shared" si="27"/>
        <v>0</v>
      </c>
      <c r="BW38" s="156">
        <f t="shared" si="27"/>
        <v>0</v>
      </c>
      <c r="BX38" s="156">
        <f t="shared" si="27"/>
        <v>0</v>
      </c>
      <c r="BY38" s="156">
        <f t="shared" si="27"/>
        <v>0</v>
      </c>
      <c r="BZ38" s="156">
        <f t="shared" si="27"/>
        <v>0</v>
      </c>
      <c r="CA38" s="156">
        <f t="shared" si="27"/>
        <v>0</v>
      </c>
      <c r="CB38" s="156">
        <f t="shared" si="27"/>
        <v>0</v>
      </c>
      <c r="CC38" s="156">
        <f t="shared" si="27"/>
        <v>0</v>
      </c>
      <c r="CD38" s="156">
        <f t="shared" si="27"/>
        <v>0</v>
      </c>
      <c r="CE38" s="156">
        <f t="shared" si="27"/>
        <v>0</v>
      </c>
      <c r="CF38" s="156">
        <f t="shared" si="27"/>
        <v>0</v>
      </c>
      <c r="CG38" s="156">
        <f t="shared" si="27"/>
        <v>0</v>
      </c>
      <c r="CH38" s="156">
        <f t="shared" si="27"/>
        <v>0</v>
      </c>
      <c r="CI38" s="156">
        <f t="shared" si="27"/>
        <v>0</v>
      </c>
      <c r="CJ38" s="156">
        <f t="shared" si="27"/>
        <v>0</v>
      </c>
      <c r="CK38" s="156">
        <f t="shared" si="27"/>
        <v>0</v>
      </c>
      <c r="CL38" s="156">
        <f t="shared" si="27"/>
        <v>0</v>
      </c>
      <c r="CM38" s="156">
        <f t="shared" si="27"/>
        <v>0</v>
      </c>
      <c r="CN38" s="156">
        <f t="shared" si="27"/>
        <v>0</v>
      </c>
      <c r="CO38" s="156">
        <f t="shared" si="27"/>
        <v>0</v>
      </c>
      <c r="CP38" s="156">
        <f t="shared" si="27"/>
        <v>0</v>
      </c>
      <c r="CQ38" s="156">
        <f t="shared" si="27"/>
        <v>0</v>
      </c>
      <c r="CR38" s="156">
        <f t="shared" si="27"/>
        <v>0</v>
      </c>
      <c r="CS38" s="156">
        <f t="shared" si="27"/>
        <v>0</v>
      </c>
      <c r="CT38" s="156">
        <f t="shared" si="27"/>
        <v>0</v>
      </c>
      <c r="CU38" s="156">
        <f t="shared" si="27"/>
        <v>0</v>
      </c>
      <c r="CV38" s="156">
        <f t="shared" si="27"/>
        <v>0</v>
      </c>
      <c r="CW38" s="156">
        <f t="shared" si="27"/>
        <v>0</v>
      </c>
      <c r="CX38" s="156">
        <f t="shared" si="27"/>
        <v>0</v>
      </c>
      <c r="CY38" s="156">
        <f t="shared" si="27"/>
        <v>11.947256484375002</v>
      </c>
      <c r="DA38" s="156">
        <f>MAX(B38:CY38)</f>
        <v>12.306933046875004</v>
      </c>
      <c r="DB38" s="156">
        <f>MIN(B38:CY38)</f>
        <v>-24.619860703125</v>
      </c>
      <c r="DC38" s="156">
        <f>ABS(DB38)</f>
        <v>24.619860703125</v>
      </c>
      <c r="DE38" s="156">
        <f>MAX(DA38,DC38)</f>
        <v>24.619860703125</v>
      </c>
    </row>
    <row r="39" spans="1:109" ht="11.25">
      <c r="A39" s="160" t="s">
        <v>318</v>
      </c>
      <c r="B39" s="156">
        <f>IF($B$10=0,0,IF(B16&gt;$B$2,0,IF(B16&lt;=$B$5,$B$13*($F$3*B16-$F$5),$B$13*($F$3*B16-$F$5-$B$10*(B16-$B$5)))))</f>
        <v>0</v>
      </c>
      <c r="C39" s="156">
        <f aca="true" t="shared" si="28" ref="C39:BN39">IF($B$10=0,0,IF(C16&gt;$B$2,0,IF(C16&lt;=$B$5,$B$13*($F$3*C16-$F$5),$B$13*($F$3*C16-$F$5-$B$10*(C16-$B$5)))))</f>
        <v>0</v>
      </c>
      <c r="D39" s="156">
        <f t="shared" si="28"/>
        <v>0</v>
      </c>
      <c r="E39" s="156">
        <f t="shared" si="28"/>
        <v>0</v>
      </c>
      <c r="F39" s="156">
        <f t="shared" si="28"/>
        <v>0</v>
      </c>
      <c r="G39" s="156">
        <f t="shared" si="28"/>
        <v>0</v>
      </c>
      <c r="H39" s="156">
        <f t="shared" si="28"/>
        <v>0</v>
      </c>
      <c r="I39" s="156">
        <f t="shared" si="28"/>
        <v>0</v>
      </c>
      <c r="J39" s="156">
        <f t="shared" si="28"/>
        <v>0</v>
      </c>
      <c r="K39" s="156">
        <f t="shared" si="28"/>
        <v>0</v>
      </c>
      <c r="L39" s="156">
        <f t="shared" si="28"/>
        <v>0</v>
      </c>
      <c r="M39" s="156">
        <f t="shared" si="28"/>
        <v>0</v>
      </c>
      <c r="N39" s="156">
        <f t="shared" si="28"/>
        <v>0</v>
      </c>
      <c r="O39" s="156">
        <f t="shared" si="28"/>
        <v>0</v>
      </c>
      <c r="P39" s="156">
        <f t="shared" si="28"/>
        <v>0</v>
      </c>
      <c r="Q39" s="156">
        <f t="shared" si="28"/>
        <v>0</v>
      </c>
      <c r="R39" s="156">
        <f t="shared" si="28"/>
        <v>0</v>
      </c>
      <c r="S39" s="156">
        <f t="shared" si="28"/>
        <v>0</v>
      </c>
      <c r="T39" s="156">
        <f t="shared" si="28"/>
        <v>0</v>
      </c>
      <c r="U39" s="156">
        <f t="shared" si="28"/>
        <v>0</v>
      </c>
      <c r="V39" s="156">
        <f t="shared" si="28"/>
        <v>0</v>
      </c>
      <c r="W39" s="156">
        <f t="shared" si="28"/>
        <v>0</v>
      </c>
      <c r="X39" s="156">
        <f t="shared" si="28"/>
        <v>0</v>
      </c>
      <c r="Y39" s="156">
        <f t="shared" si="28"/>
        <v>0</v>
      </c>
      <c r="Z39" s="156">
        <f t="shared" si="28"/>
        <v>0</v>
      </c>
      <c r="AA39" s="156">
        <f t="shared" si="28"/>
        <v>0</v>
      </c>
      <c r="AB39" s="156">
        <f t="shared" si="28"/>
        <v>0</v>
      </c>
      <c r="AC39" s="156">
        <f t="shared" si="28"/>
        <v>0</v>
      </c>
      <c r="AD39" s="156">
        <f t="shared" si="28"/>
        <v>0</v>
      </c>
      <c r="AE39" s="156">
        <f t="shared" si="28"/>
        <v>0</v>
      </c>
      <c r="AF39" s="156">
        <f t="shared" si="28"/>
        <v>0</v>
      </c>
      <c r="AG39" s="156">
        <f t="shared" si="28"/>
        <v>0</v>
      </c>
      <c r="AH39" s="156">
        <f t="shared" si="28"/>
        <v>0</v>
      </c>
      <c r="AI39" s="156">
        <f t="shared" si="28"/>
        <v>0</v>
      </c>
      <c r="AJ39" s="156">
        <f t="shared" si="28"/>
        <v>0</v>
      </c>
      <c r="AK39" s="156">
        <f t="shared" si="28"/>
        <v>0</v>
      </c>
      <c r="AL39" s="156">
        <f t="shared" si="28"/>
        <v>0</v>
      </c>
      <c r="AM39" s="156">
        <f t="shared" si="28"/>
        <v>0</v>
      </c>
      <c r="AN39" s="156">
        <f t="shared" si="28"/>
        <v>0</v>
      </c>
      <c r="AO39" s="156">
        <f t="shared" si="28"/>
        <v>0</v>
      </c>
      <c r="AP39" s="156">
        <f t="shared" si="28"/>
        <v>0</v>
      </c>
      <c r="AQ39" s="156">
        <f t="shared" si="28"/>
        <v>0</v>
      </c>
      <c r="AR39" s="156">
        <f t="shared" si="28"/>
        <v>0</v>
      </c>
      <c r="AS39" s="156">
        <f t="shared" si="28"/>
        <v>0</v>
      </c>
      <c r="AT39" s="156">
        <f t="shared" si="28"/>
        <v>0</v>
      </c>
      <c r="AU39" s="156">
        <f t="shared" si="28"/>
        <v>0</v>
      </c>
      <c r="AV39" s="156">
        <f t="shared" si="28"/>
        <v>0</v>
      </c>
      <c r="AW39" s="156">
        <f t="shared" si="28"/>
        <v>0</v>
      </c>
      <c r="AX39" s="156">
        <f t="shared" si="28"/>
        <v>0</v>
      </c>
      <c r="AY39" s="156">
        <f t="shared" si="28"/>
        <v>0</v>
      </c>
      <c r="AZ39" s="156">
        <f t="shared" si="28"/>
        <v>0</v>
      </c>
      <c r="BA39" s="156">
        <f t="shared" si="28"/>
        <v>0</v>
      </c>
      <c r="BB39" s="156">
        <f t="shared" si="28"/>
        <v>0</v>
      </c>
      <c r="BC39" s="156">
        <f t="shared" si="28"/>
        <v>0</v>
      </c>
      <c r="BD39" s="156">
        <f t="shared" si="28"/>
        <v>0</v>
      </c>
      <c r="BE39" s="156">
        <f t="shared" si="28"/>
        <v>0</v>
      </c>
      <c r="BF39" s="156">
        <f t="shared" si="28"/>
        <v>0</v>
      </c>
      <c r="BG39" s="156">
        <f t="shared" si="28"/>
        <v>0</v>
      </c>
      <c r="BH39" s="156">
        <f t="shared" si="28"/>
        <v>0</v>
      </c>
      <c r="BI39" s="156">
        <f t="shared" si="28"/>
        <v>0</v>
      </c>
      <c r="BJ39" s="156">
        <f t="shared" si="28"/>
        <v>0</v>
      </c>
      <c r="BK39" s="156">
        <f t="shared" si="28"/>
        <v>0</v>
      </c>
      <c r="BL39" s="156">
        <f t="shared" si="28"/>
        <v>0</v>
      </c>
      <c r="BM39" s="156">
        <f t="shared" si="28"/>
        <v>0</v>
      </c>
      <c r="BN39" s="156">
        <f t="shared" si="28"/>
        <v>0</v>
      </c>
      <c r="BO39" s="156">
        <f aca="true" t="shared" si="29" ref="BO39:CY39">IF($B$10=0,0,IF(BO16&gt;$B$2,0,IF(BO16&lt;=$B$5,$B$13*($F$3*BO16-$F$5),$B$13*($F$3*BO16-$F$5-$B$10*(BO16-$B$5)))))</f>
        <v>0</v>
      </c>
      <c r="BP39" s="156">
        <f t="shared" si="29"/>
        <v>0</v>
      </c>
      <c r="BQ39" s="156">
        <f t="shared" si="29"/>
        <v>0</v>
      </c>
      <c r="BR39" s="156">
        <f t="shared" si="29"/>
        <v>0</v>
      </c>
      <c r="BS39" s="156">
        <f t="shared" si="29"/>
        <v>0</v>
      </c>
      <c r="BT39" s="156">
        <f t="shared" si="29"/>
        <v>0</v>
      </c>
      <c r="BU39" s="156">
        <f t="shared" si="29"/>
        <v>0</v>
      </c>
      <c r="BV39" s="156">
        <f t="shared" si="29"/>
        <v>0</v>
      </c>
      <c r="BW39" s="156">
        <f t="shared" si="29"/>
        <v>0</v>
      </c>
      <c r="BX39" s="156">
        <f t="shared" si="29"/>
        <v>0</v>
      </c>
      <c r="BY39" s="156">
        <f t="shared" si="29"/>
        <v>0</v>
      </c>
      <c r="BZ39" s="156">
        <f t="shared" si="29"/>
        <v>0</v>
      </c>
      <c r="CA39" s="156">
        <f t="shared" si="29"/>
        <v>0</v>
      </c>
      <c r="CB39" s="156">
        <f t="shared" si="29"/>
        <v>0</v>
      </c>
      <c r="CC39" s="156">
        <f t="shared" si="29"/>
        <v>0</v>
      </c>
      <c r="CD39" s="156">
        <f t="shared" si="29"/>
        <v>0</v>
      </c>
      <c r="CE39" s="156">
        <f t="shared" si="29"/>
        <v>0</v>
      </c>
      <c r="CF39" s="156">
        <f t="shared" si="29"/>
        <v>0</v>
      </c>
      <c r="CG39" s="156">
        <f t="shared" si="29"/>
        <v>0</v>
      </c>
      <c r="CH39" s="156">
        <f t="shared" si="29"/>
        <v>0</v>
      </c>
      <c r="CI39" s="156">
        <f t="shared" si="29"/>
        <v>0</v>
      </c>
      <c r="CJ39" s="156">
        <f t="shared" si="29"/>
        <v>0</v>
      </c>
      <c r="CK39" s="156">
        <f t="shared" si="29"/>
        <v>0</v>
      </c>
      <c r="CL39" s="156">
        <f t="shared" si="29"/>
        <v>0</v>
      </c>
      <c r="CM39" s="156">
        <f t="shared" si="29"/>
        <v>0</v>
      </c>
      <c r="CN39" s="156">
        <f t="shared" si="29"/>
        <v>0</v>
      </c>
      <c r="CO39" s="156">
        <f t="shared" si="29"/>
        <v>0</v>
      </c>
      <c r="CP39" s="156">
        <f t="shared" si="29"/>
        <v>0</v>
      </c>
      <c r="CQ39" s="156">
        <f t="shared" si="29"/>
        <v>0</v>
      </c>
      <c r="CR39" s="156">
        <f t="shared" si="29"/>
        <v>0</v>
      </c>
      <c r="CS39" s="156">
        <f t="shared" si="29"/>
        <v>0</v>
      </c>
      <c r="CT39" s="156">
        <f t="shared" si="29"/>
        <v>0</v>
      </c>
      <c r="CU39" s="156">
        <f t="shared" si="29"/>
        <v>0</v>
      </c>
      <c r="CV39" s="156">
        <f t="shared" si="29"/>
        <v>0</v>
      </c>
      <c r="CW39" s="156">
        <f t="shared" si="29"/>
        <v>0</v>
      </c>
      <c r="CX39" s="156">
        <f t="shared" si="29"/>
        <v>0</v>
      </c>
      <c r="CY39" s="156">
        <f t="shared" si="29"/>
        <v>0</v>
      </c>
      <c r="DA39" s="156">
        <f>MAX(B39:CY39)</f>
        <v>0</v>
      </c>
      <c r="DB39" s="156">
        <f>MIN(B39:CY39)</f>
        <v>0</v>
      </c>
      <c r="DC39" s="156">
        <f>ABS(DB39)</f>
        <v>0</v>
      </c>
      <c r="DE39" s="156">
        <f>MAX(DA39,DC39)</f>
        <v>0</v>
      </c>
    </row>
    <row r="40" spans="1:109" ht="11.25">
      <c r="A40" s="156" t="s">
        <v>75</v>
      </c>
      <c r="B40" s="156">
        <f>B38+B39</f>
        <v>-24.619860703125</v>
      </c>
      <c r="C40" s="156">
        <f aca="true" t="shared" si="30" ref="C40:BN40">C38+C39</f>
        <v>-22.006211015625002</v>
      </c>
      <c r="D40" s="156">
        <f t="shared" si="30"/>
        <v>-19.488475078125003</v>
      </c>
      <c r="E40" s="156">
        <f t="shared" si="30"/>
        <v>-17.066652890625</v>
      </c>
      <c r="F40" s="156">
        <f t="shared" si="30"/>
        <v>-14.740744453125</v>
      </c>
      <c r="G40" s="156">
        <f t="shared" si="30"/>
        <v>-12.510749765625</v>
      </c>
      <c r="H40" s="156">
        <f t="shared" si="30"/>
        <v>-10.376668828125002</v>
      </c>
      <c r="I40" s="156">
        <f t="shared" si="30"/>
        <v>-8.338501640625001</v>
      </c>
      <c r="J40" s="156">
        <f t="shared" si="30"/>
        <v>-6.396248203125001</v>
      </c>
      <c r="K40" s="156">
        <f t="shared" si="30"/>
        <v>-4.5499085156250025</v>
      </c>
      <c r="L40" s="156">
        <f t="shared" si="30"/>
        <v>-2.799482578125007</v>
      </c>
      <c r="M40" s="156">
        <f t="shared" si="30"/>
        <v>-1.1449703906250008</v>
      </c>
      <c r="N40" s="156">
        <f t="shared" si="30"/>
        <v>0.4136280468749958</v>
      </c>
      <c r="O40" s="156">
        <f t="shared" si="30"/>
        <v>1.8763127343750003</v>
      </c>
      <c r="P40" s="156">
        <f t="shared" si="30"/>
        <v>3.243083671875001</v>
      </c>
      <c r="Q40" s="156">
        <f t="shared" si="30"/>
        <v>4.513940859374999</v>
      </c>
      <c r="R40" s="156">
        <f t="shared" si="30"/>
        <v>5.688884296875003</v>
      </c>
      <c r="S40" s="156">
        <f t="shared" si="30"/>
        <v>6.7679139843749985</v>
      </c>
      <c r="T40" s="156">
        <f t="shared" si="30"/>
        <v>7.751029921875002</v>
      </c>
      <c r="U40" s="156">
        <f t="shared" si="30"/>
        <v>8.638232109375007</v>
      </c>
      <c r="V40" s="156">
        <f t="shared" si="30"/>
        <v>9.429520546874997</v>
      </c>
      <c r="W40" s="156">
        <f t="shared" si="30"/>
        <v>10.124895234375002</v>
      </c>
      <c r="X40" s="156">
        <f t="shared" si="30"/>
        <v>10.724356171875007</v>
      </c>
      <c r="Y40" s="156">
        <f t="shared" si="30"/>
        <v>11.227903359374997</v>
      </c>
      <c r="Z40" s="156">
        <f t="shared" si="30"/>
        <v>11.635536796874996</v>
      </c>
      <c r="AA40" s="156">
        <f t="shared" si="30"/>
        <v>11.947256484375002</v>
      </c>
      <c r="AB40" s="156">
        <f t="shared" si="30"/>
        <v>12.163062421874999</v>
      </c>
      <c r="AC40" s="156">
        <f t="shared" si="30"/>
        <v>12.282954609374999</v>
      </c>
      <c r="AD40" s="156">
        <f t="shared" si="30"/>
        <v>12.306933046875004</v>
      </c>
      <c r="AE40" s="156">
        <f t="shared" si="30"/>
        <v>12.234997734374996</v>
      </c>
      <c r="AF40" s="156">
        <f t="shared" si="30"/>
        <v>12.067148671874996</v>
      </c>
      <c r="AG40" s="156">
        <f t="shared" si="30"/>
        <v>11.803385859374986</v>
      </c>
      <c r="AH40" s="156">
        <f t="shared" si="30"/>
        <v>11.443709296874994</v>
      </c>
      <c r="AI40" s="156">
        <f t="shared" si="30"/>
        <v>10.988118984374989</v>
      </c>
      <c r="AJ40" s="156">
        <f t="shared" si="30"/>
        <v>10.436614921874979</v>
      </c>
      <c r="AK40" s="156">
        <f t="shared" si="30"/>
        <v>9.789197109374989</v>
      </c>
      <c r="AL40" s="156">
        <f t="shared" si="30"/>
        <v>9.045865546874984</v>
      </c>
      <c r="AM40" s="156">
        <f t="shared" si="30"/>
        <v>8.206620234374974</v>
      </c>
      <c r="AN40" s="156">
        <f t="shared" si="30"/>
        <v>7.271461171874972</v>
      </c>
      <c r="AO40" s="156">
        <f t="shared" si="30"/>
        <v>6.240388359374967</v>
      </c>
      <c r="AP40" s="156">
        <f t="shared" si="30"/>
        <v>5.11340179687497</v>
      </c>
      <c r="AQ40" s="156">
        <f t="shared" si="30"/>
        <v>3.890501484374969</v>
      </c>
      <c r="AR40" s="156">
        <f t="shared" si="30"/>
        <v>2.5716874218749757</v>
      </c>
      <c r="AS40" s="156">
        <f t="shared" si="30"/>
        <v>1.1569596093749785</v>
      </c>
      <c r="AT40" s="156">
        <f t="shared" si="30"/>
        <v>-0.3536819531250106</v>
      </c>
      <c r="AU40" s="156">
        <f t="shared" si="30"/>
        <v>-1.9602372656250033</v>
      </c>
      <c r="AV40" s="156">
        <f t="shared" si="30"/>
        <v>-3.662706328125</v>
      </c>
      <c r="AW40" s="156">
        <f t="shared" si="30"/>
        <v>-5.461089140625</v>
      </c>
      <c r="AX40" s="156">
        <f t="shared" si="30"/>
        <v>-7.355385703124981</v>
      </c>
      <c r="AY40" s="156">
        <f t="shared" si="30"/>
        <v>-9.345596015624988</v>
      </c>
      <c r="AZ40" s="156">
        <f t="shared" si="30"/>
        <v>-11.431720078124977</v>
      </c>
      <c r="BA40" s="156">
        <f t="shared" si="30"/>
        <v>-13.613757890624946</v>
      </c>
      <c r="BB40" s="156">
        <f t="shared" si="30"/>
        <v>-15.891709453124943</v>
      </c>
      <c r="BC40" s="156">
        <f t="shared" si="30"/>
        <v>-18.26557476562494</v>
      </c>
      <c r="BD40" s="156">
        <f t="shared" si="30"/>
        <v>-20.73535382812492</v>
      </c>
      <c r="BE40" s="156">
        <f t="shared" si="30"/>
        <v>-23.30104664062493</v>
      </c>
      <c r="BF40" s="156">
        <f t="shared" si="30"/>
        <v>0</v>
      </c>
      <c r="BG40" s="156">
        <f t="shared" si="30"/>
        <v>0</v>
      </c>
      <c r="BH40" s="156">
        <f t="shared" si="30"/>
        <v>0</v>
      </c>
      <c r="BI40" s="156">
        <f t="shared" si="30"/>
        <v>0</v>
      </c>
      <c r="BJ40" s="156">
        <f t="shared" si="30"/>
        <v>0</v>
      </c>
      <c r="BK40" s="156">
        <f t="shared" si="30"/>
        <v>0</v>
      </c>
      <c r="BL40" s="156">
        <f t="shared" si="30"/>
        <v>0</v>
      </c>
      <c r="BM40" s="156">
        <f t="shared" si="30"/>
        <v>0</v>
      </c>
      <c r="BN40" s="156">
        <f t="shared" si="30"/>
        <v>0</v>
      </c>
      <c r="BO40" s="156">
        <f aca="true" t="shared" si="31" ref="BO40:CY40">BO38+BO39</f>
        <v>0</v>
      </c>
      <c r="BP40" s="156">
        <f t="shared" si="31"/>
        <v>0</v>
      </c>
      <c r="BQ40" s="156">
        <f t="shared" si="31"/>
        <v>0</v>
      </c>
      <c r="BR40" s="156">
        <f t="shared" si="31"/>
        <v>0</v>
      </c>
      <c r="BS40" s="156">
        <f t="shared" si="31"/>
        <v>0</v>
      </c>
      <c r="BT40" s="156">
        <f t="shared" si="31"/>
        <v>0</v>
      </c>
      <c r="BU40" s="156">
        <f t="shared" si="31"/>
        <v>0</v>
      </c>
      <c r="BV40" s="156">
        <f t="shared" si="31"/>
        <v>0</v>
      </c>
      <c r="BW40" s="156">
        <f t="shared" si="31"/>
        <v>0</v>
      </c>
      <c r="BX40" s="156">
        <f t="shared" si="31"/>
        <v>0</v>
      </c>
      <c r="BY40" s="156">
        <f t="shared" si="31"/>
        <v>0</v>
      </c>
      <c r="BZ40" s="156">
        <f t="shared" si="31"/>
        <v>0</v>
      </c>
      <c r="CA40" s="156">
        <f t="shared" si="31"/>
        <v>0</v>
      </c>
      <c r="CB40" s="156">
        <f t="shared" si="31"/>
        <v>0</v>
      </c>
      <c r="CC40" s="156">
        <f t="shared" si="31"/>
        <v>0</v>
      </c>
      <c r="CD40" s="156">
        <f t="shared" si="31"/>
        <v>0</v>
      </c>
      <c r="CE40" s="156">
        <f t="shared" si="31"/>
        <v>0</v>
      </c>
      <c r="CF40" s="156">
        <f t="shared" si="31"/>
        <v>0</v>
      </c>
      <c r="CG40" s="156">
        <f t="shared" si="31"/>
        <v>0</v>
      </c>
      <c r="CH40" s="156">
        <f t="shared" si="31"/>
        <v>0</v>
      </c>
      <c r="CI40" s="156">
        <f t="shared" si="31"/>
        <v>0</v>
      </c>
      <c r="CJ40" s="156">
        <f t="shared" si="31"/>
        <v>0</v>
      </c>
      <c r="CK40" s="156">
        <f t="shared" si="31"/>
        <v>0</v>
      </c>
      <c r="CL40" s="156">
        <f t="shared" si="31"/>
        <v>0</v>
      </c>
      <c r="CM40" s="156">
        <f t="shared" si="31"/>
        <v>0</v>
      </c>
      <c r="CN40" s="156">
        <f t="shared" si="31"/>
        <v>0</v>
      </c>
      <c r="CO40" s="156">
        <f t="shared" si="31"/>
        <v>0</v>
      </c>
      <c r="CP40" s="156">
        <f t="shared" si="31"/>
        <v>0</v>
      </c>
      <c r="CQ40" s="156">
        <f t="shared" si="31"/>
        <v>0</v>
      </c>
      <c r="CR40" s="156">
        <f t="shared" si="31"/>
        <v>0</v>
      </c>
      <c r="CS40" s="156">
        <f t="shared" si="31"/>
        <v>0</v>
      </c>
      <c r="CT40" s="156">
        <f t="shared" si="31"/>
        <v>0</v>
      </c>
      <c r="CU40" s="156">
        <f t="shared" si="31"/>
        <v>0</v>
      </c>
      <c r="CV40" s="156">
        <f t="shared" si="31"/>
        <v>0</v>
      </c>
      <c r="CW40" s="156">
        <f t="shared" si="31"/>
        <v>0</v>
      </c>
      <c r="CX40" s="156">
        <f t="shared" si="31"/>
        <v>0</v>
      </c>
      <c r="CY40" s="156">
        <f t="shared" si="31"/>
        <v>11.947256484375002</v>
      </c>
      <c r="DA40" s="156">
        <f>MAX(B40:CY40)</f>
        <v>12.306933046875004</v>
      </c>
      <c r="DB40" s="156">
        <f>MIN(B40:CY40)</f>
        <v>-24.619860703125</v>
      </c>
      <c r="DC40" s="156">
        <f>ABS(DB40)</f>
        <v>24.619860703125</v>
      </c>
      <c r="DE40" s="156">
        <f>MAX(DA40,DC40)</f>
        <v>24.619860703125</v>
      </c>
    </row>
    <row r="41" ht="11.25">
      <c r="CY41" s="156"/>
    </row>
    <row r="42" spans="1:109" ht="11.25">
      <c r="A42" s="156" t="s">
        <v>324</v>
      </c>
      <c r="B42" s="156">
        <f>IF(B16&gt;$B$2,0,0.5*$B$3*$B$2*($B$2-(2*B16))/$B$2)</f>
        <v>26.616065625</v>
      </c>
      <c r="C42" s="156">
        <f aca="true" t="shared" si="32" ref="C42:BN42">IF(C16&gt;$B$2,0,0.5*$B$3*$B$2*($B$2-(2*C16))/$B$2)</f>
        <v>25.656928125</v>
      </c>
      <c r="D42" s="156">
        <f t="shared" si="32"/>
        <v>24.697790625000003</v>
      </c>
      <c r="E42" s="156">
        <f t="shared" si="32"/>
        <v>23.738653125</v>
      </c>
      <c r="F42" s="156">
        <f t="shared" si="32"/>
        <v>22.779515625000002</v>
      </c>
      <c r="G42" s="156">
        <f t="shared" si="32"/>
        <v>21.820378125</v>
      </c>
      <c r="H42" s="156">
        <f t="shared" si="32"/>
        <v>20.861240625</v>
      </c>
      <c r="I42" s="156">
        <f t="shared" si="32"/>
        <v>19.902103125000004</v>
      </c>
      <c r="J42" s="156">
        <f t="shared" si="32"/>
        <v>18.942965625000003</v>
      </c>
      <c r="K42" s="156">
        <f t="shared" si="32"/>
        <v>17.983828125000002</v>
      </c>
      <c r="L42" s="156">
        <f t="shared" si="32"/>
        <v>17.024690625</v>
      </c>
      <c r="M42" s="156">
        <f t="shared" si="32"/>
        <v>16.065553125</v>
      </c>
      <c r="N42" s="156">
        <f t="shared" si="32"/>
        <v>15.106415625</v>
      </c>
      <c r="O42" s="156">
        <f t="shared" si="32"/>
        <v>14.147278125</v>
      </c>
      <c r="P42" s="156">
        <f t="shared" si="32"/>
        <v>13.188140624999999</v>
      </c>
      <c r="Q42" s="156">
        <f t="shared" si="32"/>
        <v>12.229003124999997</v>
      </c>
      <c r="R42" s="156">
        <f t="shared" si="32"/>
        <v>11.269865624999996</v>
      </c>
      <c r="S42" s="156">
        <f t="shared" si="32"/>
        <v>10.310728124999995</v>
      </c>
      <c r="T42" s="156">
        <f t="shared" si="32"/>
        <v>9.351590624999995</v>
      </c>
      <c r="U42" s="156">
        <f t="shared" si="32"/>
        <v>8.392453124999994</v>
      </c>
      <c r="V42" s="156">
        <f t="shared" si="32"/>
        <v>7.433315624999995</v>
      </c>
      <c r="W42" s="156">
        <f t="shared" si="32"/>
        <v>6.474178124999995</v>
      </c>
      <c r="X42" s="156">
        <f t="shared" si="32"/>
        <v>5.515040624999993</v>
      </c>
      <c r="Y42" s="156">
        <f t="shared" si="32"/>
        <v>4.555903124999993</v>
      </c>
      <c r="Z42" s="156">
        <f t="shared" si="32"/>
        <v>3.5967656249999918</v>
      </c>
      <c r="AA42" s="156">
        <f t="shared" si="32"/>
        <v>2.6376281249999907</v>
      </c>
      <c r="AB42" s="156">
        <f t="shared" si="32"/>
        <v>1.6784906249999898</v>
      </c>
      <c r="AC42" s="156">
        <f t="shared" si="32"/>
        <v>0.7193531249999889</v>
      </c>
      <c r="AD42" s="156">
        <f t="shared" si="32"/>
        <v>-0.23978437500001196</v>
      </c>
      <c r="AE42" s="156">
        <f t="shared" si="32"/>
        <v>-1.1989218750000128</v>
      </c>
      <c r="AF42" s="156">
        <f t="shared" si="32"/>
        <v>-2.158059375000014</v>
      </c>
      <c r="AG42" s="156">
        <f t="shared" si="32"/>
        <v>-3.1171968750000145</v>
      </c>
      <c r="AH42" s="156">
        <f t="shared" si="32"/>
        <v>-4.076334375000016</v>
      </c>
      <c r="AI42" s="156">
        <f t="shared" si="32"/>
        <v>-5.035471875000017</v>
      </c>
      <c r="AJ42" s="156">
        <f t="shared" si="32"/>
        <v>-5.994609375000018</v>
      </c>
      <c r="AK42" s="156">
        <f t="shared" si="32"/>
        <v>-6.953746875000018</v>
      </c>
      <c r="AL42" s="156">
        <f t="shared" si="32"/>
        <v>-7.912884375000019</v>
      </c>
      <c r="AM42" s="156">
        <f t="shared" si="32"/>
        <v>-8.872021875000021</v>
      </c>
      <c r="AN42" s="156">
        <f t="shared" si="32"/>
        <v>-9.831159375000022</v>
      </c>
      <c r="AO42" s="156">
        <f t="shared" si="32"/>
        <v>-10.790296875000022</v>
      </c>
      <c r="AP42" s="156">
        <f t="shared" si="32"/>
        <v>-11.749434375000018</v>
      </c>
      <c r="AQ42" s="156">
        <f t="shared" si="32"/>
        <v>-12.708571875000015</v>
      </c>
      <c r="AR42" s="156">
        <f t="shared" si="32"/>
        <v>-13.667709375000012</v>
      </c>
      <c r="AS42" s="156">
        <f t="shared" si="32"/>
        <v>-14.626846875000007</v>
      </c>
      <c r="AT42" s="156">
        <f t="shared" si="32"/>
        <v>-15.585984375000004</v>
      </c>
      <c r="AU42" s="156">
        <f t="shared" si="32"/>
        <v>-16.545121875</v>
      </c>
      <c r="AV42" s="156">
        <f t="shared" si="32"/>
        <v>-17.504259374999997</v>
      </c>
      <c r="AW42" s="156">
        <f t="shared" si="32"/>
        <v>-18.463396874999994</v>
      </c>
      <c r="AX42" s="156">
        <f t="shared" si="32"/>
        <v>-19.42253437499999</v>
      </c>
      <c r="AY42" s="156">
        <f t="shared" si="32"/>
        <v>-20.381671874999988</v>
      </c>
      <c r="AZ42" s="156">
        <f t="shared" si="32"/>
        <v>-21.340809374999985</v>
      </c>
      <c r="BA42" s="156">
        <f t="shared" si="32"/>
        <v>-22.299946874999982</v>
      </c>
      <c r="BB42" s="156">
        <f t="shared" si="32"/>
        <v>-23.259084374999976</v>
      </c>
      <c r="BC42" s="156">
        <f t="shared" si="32"/>
        <v>-24.218221874999976</v>
      </c>
      <c r="BD42" s="156">
        <f t="shared" si="32"/>
        <v>-25.17735937499997</v>
      </c>
      <c r="BE42" s="156">
        <f t="shared" si="32"/>
        <v>-26.13649687499997</v>
      </c>
      <c r="BF42" s="156">
        <f t="shared" si="32"/>
        <v>0</v>
      </c>
      <c r="BG42" s="156">
        <f t="shared" si="32"/>
        <v>0</v>
      </c>
      <c r="BH42" s="156">
        <f t="shared" si="32"/>
        <v>0</v>
      </c>
      <c r="BI42" s="156">
        <f t="shared" si="32"/>
        <v>0</v>
      </c>
      <c r="BJ42" s="156">
        <f t="shared" si="32"/>
        <v>0</v>
      </c>
      <c r="BK42" s="156">
        <f t="shared" si="32"/>
        <v>0</v>
      </c>
      <c r="BL42" s="156">
        <f t="shared" si="32"/>
        <v>0</v>
      </c>
      <c r="BM42" s="156">
        <f t="shared" si="32"/>
        <v>0</v>
      </c>
      <c r="BN42" s="156">
        <f t="shared" si="32"/>
        <v>0</v>
      </c>
      <c r="BO42" s="156">
        <f aca="true" t="shared" si="33" ref="BO42:CY42">IF(BO16&gt;$B$2,0,0.5*$B$3*$B$2*($B$2-(2*BO16))/$B$2)</f>
        <v>0</v>
      </c>
      <c r="BP42" s="156">
        <f t="shared" si="33"/>
        <v>0</v>
      </c>
      <c r="BQ42" s="156">
        <f t="shared" si="33"/>
        <v>0</v>
      </c>
      <c r="BR42" s="156">
        <f t="shared" si="33"/>
        <v>0</v>
      </c>
      <c r="BS42" s="156">
        <f t="shared" si="33"/>
        <v>0</v>
      </c>
      <c r="BT42" s="156">
        <f t="shared" si="33"/>
        <v>0</v>
      </c>
      <c r="BU42" s="156">
        <f t="shared" si="33"/>
        <v>0</v>
      </c>
      <c r="BV42" s="156">
        <f t="shared" si="33"/>
        <v>0</v>
      </c>
      <c r="BW42" s="156">
        <f t="shared" si="33"/>
        <v>0</v>
      </c>
      <c r="BX42" s="156">
        <f t="shared" si="33"/>
        <v>0</v>
      </c>
      <c r="BY42" s="156">
        <f t="shared" si="33"/>
        <v>0</v>
      </c>
      <c r="BZ42" s="156">
        <f t="shared" si="33"/>
        <v>0</v>
      </c>
      <c r="CA42" s="156">
        <f t="shared" si="33"/>
        <v>0</v>
      </c>
      <c r="CB42" s="156">
        <f t="shared" si="33"/>
        <v>0</v>
      </c>
      <c r="CC42" s="156">
        <f t="shared" si="33"/>
        <v>0</v>
      </c>
      <c r="CD42" s="156">
        <f t="shared" si="33"/>
        <v>0</v>
      </c>
      <c r="CE42" s="156">
        <f t="shared" si="33"/>
        <v>0</v>
      </c>
      <c r="CF42" s="156">
        <f t="shared" si="33"/>
        <v>0</v>
      </c>
      <c r="CG42" s="156">
        <f t="shared" si="33"/>
        <v>0</v>
      </c>
      <c r="CH42" s="156">
        <f t="shared" si="33"/>
        <v>0</v>
      </c>
      <c r="CI42" s="156">
        <f t="shared" si="33"/>
        <v>0</v>
      </c>
      <c r="CJ42" s="156">
        <f t="shared" si="33"/>
        <v>0</v>
      </c>
      <c r="CK42" s="156">
        <f t="shared" si="33"/>
        <v>0</v>
      </c>
      <c r="CL42" s="156">
        <f t="shared" si="33"/>
        <v>0</v>
      </c>
      <c r="CM42" s="156">
        <f t="shared" si="33"/>
        <v>0</v>
      </c>
      <c r="CN42" s="156">
        <f t="shared" si="33"/>
        <v>0</v>
      </c>
      <c r="CO42" s="156">
        <f t="shared" si="33"/>
        <v>0</v>
      </c>
      <c r="CP42" s="156">
        <f t="shared" si="33"/>
        <v>0</v>
      </c>
      <c r="CQ42" s="156">
        <f t="shared" si="33"/>
        <v>0</v>
      </c>
      <c r="CR42" s="156">
        <f t="shared" si="33"/>
        <v>0</v>
      </c>
      <c r="CS42" s="156">
        <f t="shared" si="33"/>
        <v>0</v>
      </c>
      <c r="CT42" s="156">
        <f t="shared" si="33"/>
        <v>0</v>
      </c>
      <c r="CU42" s="156">
        <f t="shared" si="33"/>
        <v>0</v>
      </c>
      <c r="CV42" s="156">
        <f t="shared" si="33"/>
        <v>0</v>
      </c>
      <c r="CW42" s="156">
        <f t="shared" si="33"/>
        <v>0</v>
      </c>
      <c r="CX42" s="156">
        <f t="shared" si="33"/>
        <v>0</v>
      </c>
      <c r="CY42" s="156">
        <f t="shared" si="33"/>
        <v>2.637628124999999</v>
      </c>
      <c r="DA42" s="156">
        <f>MAX(B42:CY42)</f>
        <v>26.616065625</v>
      </c>
      <c r="DB42" s="156">
        <f>MIN(B42:CY42)</f>
        <v>-26.13649687499997</v>
      </c>
      <c r="DC42" s="156">
        <f>ABS(DB42)</f>
        <v>26.13649687499997</v>
      </c>
      <c r="DE42" s="156">
        <f>MAX(DA42,DC42)</f>
        <v>26.616065625</v>
      </c>
    </row>
    <row r="43" spans="1:109" ht="11.25">
      <c r="A43" s="160" t="s">
        <v>325</v>
      </c>
      <c r="B43" s="156">
        <f>IF($B$5=0,0,IF($B$10=0,0,IF(B16&gt;$B$2,0,IF(B16&lt;=$B$5,$B$13*$F$3,$B$13*($F$3-$B$10)))))</f>
        <v>0</v>
      </c>
      <c r="C43" s="156">
        <f aca="true" t="shared" si="34" ref="C43:BN43">IF($B$5=0,0,IF($B$10=0,0,IF(C16&gt;$B$2,0,IF(C16&lt;=$B$5,$B$13*$F$3,$B$13*($F$3-$B$10)))))</f>
        <v>0</v>
      </c>
      <c r="D43" s="156">
        <f t="shared" si="34"/>
        <v>0</v>
      </c>
      <c r="E43" s="156">
        <f t="shared" si="34"/>
        <v>0</v>
      </c>
      <c r="F43" s="156">
        <f t="shared" si="34"/>
        <v>0</v>
      </c>
      <c r="G43" s="156">
        <f t="shared" si="34"/>
        <v>0</v>
      </c>
      <c r="H43" s="156">
        <f t="shared" si="34"/>
        <v>0</v>
      </c>
      <c r="I43" s="156">
        <f t="shared" si="34"/>
        <v>0</v>
      </c>
      <c r="J43" s="156">
        <f t="shared" si="34"/>
        <v>0</v>
      </c>
      <c r="K43" s="156">
        <f t="shared" si="34"/>
        <v>0</v>
      </c>
      <c r="L43" s="156">
        <f t="shared" si="34"/>
        <v>0</v>
      </c>
      <c r="M43" s="156">
        <f t="shared" si="34"/>
        <v>0</v>
      </c>
      <c r="N43" s="156">
        <f t="shared" si="34"/>
        <v>0</v>
      </c>
      <c r="O43" s="156">
        <f t="shared" si="34"/>
        <v>0</v>
      </c>
      <c r="P43" s="156">
        <f t="shared" si="34"/>
        <v>0</v>
      </c>
      <c r="Q43" s="156">
        <f t="shared" si="34"/>
        <v>0</v>
      </c>
      <c r="R43" s="156">
        <f t="shared" si="34"/>
        <v>0</v>
      </c>
      <c r="S43" s="156">
        <f t="shared" si="34"/>
        <v>0</v>
      </c>
      <c r="T43" s="156">
        <f t="shared" si="34"/>
        <v>0</v>
      </c>
      <c r="U43" s="156">
        <f t="shared" si="34"/>
        <v>0</v>
      </c>
      <c r="V43" s="156">
        <f t="shared" si="34"/>
        <v>0</v>
      </c>
      <c r="W43" s="156">
        <f t="shared" si="34"/>
        <v>0</v>
      </c>
      <c r="X43" s="156">
        <f t="shared" si="34"/>
        <v>0</v>
      </c>
      <c r="Y43" s="156">
        <f t="shared" si="34"/>
        <v>0</v>
      </c>
      <c r="Z43" s="156">
        <f t="shared" si="34"/>
        <v>0</v>
      </c>
      <c r="AA43" s="156">
        <f t="shared" si="34"/>
        <v>0</v>
      </c>
      <c r="AB43" s="156">
        <f t="shared" si="34"/>
        <v>0</v>
      </c>
      <c r="AC43" s="156">
        <f t="shared" si="34"/>
        <v>0</v>
      </c>
      <c r="AD43" s="156">
        <f t="shared" si="34"/>
        <v>0</v>
      </c>
      <c r="AE43" s="156">
        <f t="shared" si="34"/>
        <v>0</v>
      </c>
      <c r="AF43" s="156">
        <f t="shared" si="34"/>
        <v>0</v>
      </c>
      <c r="AG43" s="156">
        <f t="shared" si="34"/>
        <v>0</v>
      </c>
      <c r="AH43" s="156">
        <f t="shared" si="34"/>
        <v>0</v>
      </c>
      <c r="AI43" s="156">
        <f t="shared" si="34"/>
        <v>0</v>
      </c>
      <c r="AJ43" s="156">
        <f t="shared" si="34"/>
        <v>0</v>
      </c>
      <c r="AK43" s="156">
        <f t="shared" si="34"/>
        <v>0</v>
      </c>
      <c r="AL43" s="156">
        <f t="shared" si="34"/>
        <v>0</v>
      </c>
      <c r="AM43" s="156">
        <f t="shared" si="34"/>
        <v>0</v>
      </c>
      <c r="AN43" s="156">
        <f t="shared" si="34"/>
        <v>0</v>
      </c>
      <c r="AO43" s="156">
        <f t="shared" si="34"/>
        <v>0</v>
      </c>
      <c r="AP43" s="156">
        <f t="shared" si="34"/>
        <v>0</v>
      </c>
      <c r="AQ43" s="156">
        <f t="shared" si="34"/>
        <v>0</v>
      </c>
      <c r="AR43" s="156">
        <f t="shared" si="34"/>
        <v>0</v>
      </c>
      <c r="AS43" s="156">
        <f t="shared" si="34"/>
        <v>0</v>
      </c>
      <c r="AT43" s="156">
        <f t="shared" si="34"/>
        <v>0</v>
      </c>
      <c r="AU43" s="156">
        <f t="shared" si="34"/>
        <v>0</v>
      </c>
      <c r="AV43" s="156">
        <f t="shared" si="34"/>
        <v>0</v>
      </c>
      <c r="AW43" s="156">
        <f t="shared" si="34"/>
        <v>0</v>
      </c>
      <c r="AX43" s="156">
        <f t="shared" si="34"/>
        <v>0</v>
      </c>
      <c r="AY43" s="156">
        <f t="shared" si="34"/>
        <v>0</v>
      </c>
      <c r="AZ43" s="156">
        <f t="shared" si="34"/>
        <v>0</v>
      </c>
      <c r="BA43" s="156">
        <f t="shared" si="34"/>
        <v>0</v>
      </c>
      <c r="BB43" s="156">
        <f t="shared" si="34"/>
        <v>0</v>
      </c>
      <c r="BC43" s="156">
        <f t="shared" si="34"/>
        <v>0</v>
      </c>
      <c r="BD43" s="156">
        <f t="shared" si="34"/>
        <v>0</v>
      </c>
      <c r="BE43" s="156">
        <f t="shared" si="34"/>
        <v>0</v>
      </c>
      <c r="BF43" s="156">
        <f t="shared" si="34"/>
        <v>0</v>
      </c>
      <c r="BG43" s="156">
        <f t="shared" si="34"/>
        <v>0</v>
      </c>
      <c r="BH43" s="156">
        <f t="shared" si="34"/>
        <v>0</v>
      </c>
      <c r="BI43" s="156">
        <f t="shared" si="34"/>
        <v>0</v>
      </c>
      <c r="BJ43" s="156">
        <f t="shared" si="34"/>
        <v>0</v>
      </c>
      <c r="BK43" s="156">
        <f t="shared" si="34"/>
        <v>0</v>
      </c>
      <c r="BL43" s="156">
        <f t="shared" si="34"/>
        <v>0</v>
      </c>
      <c r="BM43" s="156">
        <f t="shared" si="34"/>
        <v>0</v>
      </c>
      <c r="BN43" s="156">
        <f t="shared" si="34"/>
        <v>0</v>
      </c>
      <c r="BO43" s="156">
        <f aca="true" t="shared" si="35" ref="BO43:CY43">IF($B$5=0,0,IF($B$10=0,0,IF(BO16&gt;$B$2,0,IF(BO16&lt;=$B$5,$B$13*$F$3,$B$13*($F$3-$B$10)))))</f>
        <v>0</v>
      </c>
      <c r="BP43" s="156">
        <f t="shared" si="35"/>
        <v>0</v>
      </c>
      <c r="BQ43" s="156">
        <f t="shared" si="35"/>
        <v>0</v>
      </c>
      <c r="BR43" s="156">
        <f t="shared" si="35"/>
        <v>0</v>
      </c>
      <c r="BS43" s="156">
        <f t="shared" si="35"/>
        <v>0</v>
      </c>
      <c r="BT43" s="156">
        <f t="shared" si="35"/>
        <v>0</v>
      </c>
      <c r="BU43" s="156">
        <f t="shared" si="35"/>
        <v>0</v>
      </c>
      <c r="BV43" s="156">
        <f t="shared" si="35"/>
        <v>0</v>
      </c>
      <c r="BW43" s="156">
        <f t="shared" si="35"/>
        <v>0</v>
      </c>
      <c r="BX43" s="156">
        <f t="shared" si="35"/>
        <v>0</v>
      </c>
      <c r="BY43" s="156">
        <f t="shared" si="35"/>
        <v>0</v>
      </c>
      <c r="BZ43" s="156">
        <f t="shared" si="35"/>
        <v>0</v>
      </c>
      <c r="CA43" s="156">
        <f t="shared" si="35"/>
        <v>0</v>
      </c>
      <c r="CB43" s="156">
        <f t="shared" si="35"/>
        <v>0</v>
      </c>
      <c r="CC43" s="156">
        <f t="shared" si="35"/>
        <v>0</v>
      </c>
      <c r="CD43" s="156">
        <f t="shared" si="35"/>
        <v>0</v>
      </c>
      <c r="CE43" s="156">
        <f t="shared" si="35"/>
        <v>0</v>
      </c>
      <c r="CF43" s="156">
        <f t="shared" si="35"/>
        <v>0</v>
      </c>
      <c r="CG43" s="156">
        <f t="shared" si="35"/>
        <v>0</v>
      </c>
      <c r="CH43" s="156">
        <f t="shared" si="35"/>
        <v>0</v>
      </c>
      <c r="CI43" s="156">
        <f t="shared" si="35"/>
        <v>0</v>
      </c>
      <c r="CJ43" s="156">
        <f t="shared" si="35"/>
        <v>0</v>
      </c>
      <c r="CK43" s="156">
        <f t="shared" si="35"/>
        <v>0</v>
      </c>
      <c r="CL43" s="156">
        <f t="shared" si="35"/>
        <v>0</v>
      </c>
      <c r="CM43" s="156">
        <f t="shared" si="35"/>
        <v>0</v>
      </c>
      <c r="CN43" s="156">
        <f t="shared" si="35"/>
        <v>0</v>
      </c>
      <c r="CO43" s="156">
        <f t="shared" si="35"/>
        <v>0</v>
      </c>
      <c r="CP43" s="156">
        <f t="shared" si="35"/>
        <v>0</v>
      </c>
      <c r="CQ43" s="156">
        <f t="shared" si="35"/>
        <v>0</v>
      </c>
      <c r="CR43" s="156">
        <f t="shared" si="35"/>
        <v>0</v>
      </c>
      <c r="CS43" s="156">
        <f t="shared" si="35"/>
        <v>0</v>
      </c>
      <c r="CT43" s="156">
        <f t="shared" si="35"/>
        <v>0</v>
      </c>
      <c r="CU43" s="156">
        <f t="shared" si="35"/>
        <v>0</v>
      </c>
      <c r="CV43" s="156">
        <f t="shared" si="35"/>
        <v>0</v>
      </c>
      <c r="CW43" s="156">
        <f t="shared" si="35"/>
        <v>0</v>
      </c>
      <c r="CX43" s="156">
        <f t="shared" si="35"/>
        <v>0</v>
      </c>
      <c r="CY43" s="156">
        <f t="shared" si="35"/>
        <v>0</v>
      </c>
      <c r="DA43" s="156">
        <f>MAX(B43:CY43)</f>
        <v>0</v>
      </c>
      <c r="DB43" s="156">
        <f>MIN(B43:CY43)</f>
        <v>0</v>
      </c>
      <c r="DC43" s="156">
        <f>ABS(DB43)</f>
        <v>0</v>
      </c>
      <c r="DE43" s="156">
        <f>MAX(DA43,DC43)</f>
        <v>0</v>
      </c>
    </row>
    <row r="44" spans="1:109" ht="11.25">
      <c r="A44" s="156" t="s">
        <v>75</v>
      </c>
      <c r="B44" s="156">
        <f>B42+B43</f>
        <v>26.616065625</v>
      </c>
      <c r="C44" s="156">
        <f aca="true" t="shared" si="36" ref="C44:BN44">C42+C43</f>
        <v>25.656928125</v>
      </c>
      <c r="D44" s="156">
        <f t="shared" si="36"/>
        <v>24.697790625000003</v>
      </c>
      <c r="E44" s="156">
        <f t="shared" si="36"/>
        <v>23.738653125</v>
      </c>
      <c r="F44" s="156">
        <f t="shared" si="36"/>
        <v>22.779515625000002</v>
      </c>
      <c r="G44" s="156">
        <f t="shared" si="36"/>
        <v>21.820378125</v>
      </c>
      <c r="H44" s="156">
        <f t="shared" si="36"/>
        <v>20.861240625</v>
      </c>
      <c r="I44" s="156">
        <f t="shared" si="36"/>
        <v>19.902103125000004</v>
      </c>
      <c r="J44" s="156">
        <f t="shared" si="36"/>
        <v>18.942965625000003</v>
      </c>
      <c r="K44" s="156">
        <f t="shared" si="36"/>
        <v>17.983828125000002</v>
      </c>
      <c r="L44" s="156">
        <f t="shared" si="36"/>
        <v>17.024690625</v>
      </c>
      <c r="M44" s="156">
        <f t="shared" si="36"/>
        <v>16.065553125</v>
      </c>
      <c r="N44" s="156">
        <f t="shared" si="36"/>
        <v>15.106415625</v>
      </c>
      <c r="O44" s="156">
        <f t="shared" si="36"/>
        <v>14.147278125</v>
      </c>
      <c r="P44" s="156">
        <f t="shared" si="36"/>
        <v>13.188140624999999</v>
      </c>
      <c r="Q44" s="156">
        <f t="shared" si="36"/>
        <v>12.229003124999997</v>
      </c>
      <c r="R44" s="156">
        <f t="shared" si="36"/>
        <v>11.269865624999996</v>
      </c>
      <c r="S44" s="156">
        <f t="shared" si="36"/>
        <v>10.310728124999995</v>
      </c>
      <c r="T44" s="156">
        <f t="shared" si="36"/>
        <v>9.351590624999995</v>
      </c>
      <c r="U44" s="156">
        <f t="shared" si="36"/>
        <v>8.392453124999994</v>
      </c>
      <c r="V44" s="156">
        <f t="shared" si="36"/>
        <v>7.433315624999995</v>
      </c>
      <c r="W44" s="156">
        <f t="shared" si="36"/>
        <v>6.474178124999995</v>
      </c>
      <c r="X44" s="156">
        <f t="shared" si="36"/>
        <v>5.515040624999993</v>
      </c>
      <c r="Y44" s="156">
        <f t="shared" si="36"/>
        <v>4.555903124999993</v>
      </c>
      <c r="Z44" s="156">
        <f t="shared" si="36"/>
        <v>3.5967656249999918</v>
      </c>
      <c r="AA44" s="156">
        <f t="shared" si="36"/>
        <v>2.6376281249999907</v>
      </c>
      <c r="AB44" s="156">
        <f t="shared" si="36"/>
        <v>1.6784906249999898</v>
      </c>
      <c r="AC44" s="156">
        <f t="shared" si="36"/>
        <v>0.7193531249999889</v>
      </c>
      <c r="AD44" s="156">
        <f t="shared" si="36"/>
        <v>-0.23978437500001196</v>
      </c>
      <c r="AE44" s="156">
        <f t="shared" si="36"/>
        <v>-1.1989218750000128</v>
      </c>
      <c r="AF44" s="156">
        <f t="shared" si="36"/>
        <v>-2.158059375000014</v>
      </c>
      <c r="AG44" s="156">
        <f t="shared" si="36"/>
        <v>-3.1171968750000145</v>
      </c>
      <c r="AH44" s="156">
        <f t="shared" si="36"/>
        <v>-4.076334375000016</v>
      </c>
      <c r="AI44" s="156">
        <f t="shared" si="36"/>
        <v>-5.035471875000017</v>
      </c>
      <c r="AJ44" s="156">
        <f t="shared" si="36"/>
        <v>-5.994609375000018</v>
      </c>
      <c r="AK44" s="156">
        <f t="shared" si="36"/>
        <v>-6.953746875000018</v>
      </c>
      <c r="AL44" s="156">
        <f t="shared" si="36"/>
        <v>-7.912884375000019</v>
      </c>
      <c r="AM44" s="156">
        <f t="shared" si="36"/>
        <v>-8.872021875000021</v>
      </c>
      <c r="AN44" s="156">
        <f t="shared" si="36"/>
        <v>-9.831159375000022</v>
      </c>
      <c r="AO44" s="156">
        <f t="shared" si="36"/>
        <v>-10.790296875000022</v>
      </c>
      <c r="AP44" s="156">
        <f t="shared" si="36"/>
        <v>-11.749434375000018</v>
      </c>
      <c r="AQ44" s="156">
        <f t="shared" si="36"/>
        <v>-12.708571875000015</v>
      </c>
      <c r="AR44" s="156">
        <f t="shared" si="36"/>
        <v>-13.667709375000012</v>
      </c>
      <c r="AS44" s="156">
        <f t="shared" si="36"/>
        <v>-14.626846875000007</v>
      </c>
      <c r="AT44" s="156">
        <f t="shared" si="36"/>
        <v>-15.585984375000004</v>
      </c>
      <c r="AU44" s="156">
        <f t="shared" si="36"/>
        <v>-16.545121875</v>
      </c>
      <c r="AV44" s="156">
        <f t="shared" si="36"/>
        <v>-17.504259374999997</v>
      </c>
      <c r="AW44" s="156">
        <f t="shared" si="36"/>
        <v>-18.463396874999994</v>
      </c>
      <c r="AX44" s="156">
        <f t="shared" si="36"/>
        <v>-19.42253437499999</v>
      </c>
      <c r="AY44" s="156">
        <f t="shared" si="36"/>
        <v>-20.381671874999988</v>
      </c>
      <c r="AZ44" s="156">
        <f t="shared" si="36"/>
        <v>-21.340809374999985</v>
      </c>
      <c r="BA44" s="156">
        <f t="shared" si="36"/>
        <v>-22.299946874999982</v>
      </c>
      <c r="BB44" s="156">
        <f t="shared" si="36"/>
        <v>-23.259084374999976</v>
      </c>
      <c r="BC44" s="156">
        <f t="shared" si="36"/>
        <v>-24.218221874999976</v>
      </c>
      <c r="BD44" s="156">
        <f t="shared" si="36"/>
        <v>-25.17735937499997</v>
      </c>
      <c r="BE44" s="156">
        <f t="shared" si="36"/>
        <v>-26.13649687499997</v>
      </c>
      <c r="BF44" s="156">
        <f t="shared" si="36"/>
        <v>0</v>
      </c>
      <c r="BG44" s="156">
        <f t="shared" si="36"/>
        <v>0</v>
      </c>
      <c r="BH44" s="156">
        <f t="shared" si="36"/>
        <v>0</v>
      </c>
      <c r="BI44" s="156">
        <f t="shared" si="36"/>
        <v>0</v>
      </c>
      <c r="BJ44" s="156">
        <f t="shared" si="36"/>
        <v>0</v>
      </c>
      <c r="BK44" s="156">
        <f t="shared" si="36"/>
        <v>0</v>
      </c>
      <c r="BL44" s="156">
        <f t="shared" si="36"/>
        <v>0</v>
      </c>
      <c r="BM44" s="156">
        <f t="shared" si="36"/>
        <v>0</v>
      </c>
      <c r="BN44" s="156">
        <f t="shared" si="36"/>
        <v>0</v>
      </c>
      <c r="BO44" s="156">
        <f aca="true" t="shared" si="37" ref="BO44:CY44">BO42+BO43</f>
        <v>0</v>
      </c>
      <c r="BP44" s="156">
        <f t="shared" si="37"/>
        <v>0</v>
      </c>
      <c r="BQ44" s="156">
        <f t="shared" si="37"/>
        <v>0</v>
      </c>
      <c r="BR44" s="156">
        <f t="shared" si="37"/>
        <v>0</v>
      </c>
      <c r="BS44" s="156">
        <f t="shared" si="37"/>
        <v>0</v>
      </c>
      <c r="BT44" s="156">
        <f t="shared" si="37"/>
        <v>0</v>
      </c>
      <c r="BU44" s="156">
        <f t="shared" si="37"/>
        <v>0</v>
      </c>
      <c r="BV44" s="156">
        <f t="shared" si="37"/>
        <v>0</v>
      </c>
      <c r="BW44" s="156">
        <f t="shared" si="37"/>
        <v>0</v>
      </c>
      <c r="BX44" s="156">
        <f t="shared" si="37"/>
        <v>0</v>
      </c>
      <c r="BY44" s="156">
        <f t="shared" si="37"/>
        <v>0</v>
      </c>
      <c r="BZ44" s="156">
        <f t="shared" si="37"/>
        <v>0</v>
      </c>
      <c r="CA44" s="156">
        <f t="shared" si="37"/>
        <v>0</v>
      </c>
      <c r="CB44" s="156">
        <f t="shared" si="37"/>
        <v>0</v>
      </c>
      <c r="CC44" s="156">
        <f t="shared" si="37"/>
        <v>0</v>
      </c>
      <c r="CD44" s="156">
        <f t="shared" si="37"/>
        <v>0</v>
      </c>
      <c r="CE44" s="156">
        <f t="shared" si="37"/>
        <v>0</v>
      </c>
      <c r="CF44" s="156">
        <f t="shared" si="37"/>
        <v>0</v>
      </c>
      <c r="CG44" s="156">
        <f t="shared" si="37"/>
        <v>0</v>
      </c>
      <c r="CH44" s="156">
        <f t="shared" si="37"/>
        <v>0</v>
      </c>
      <c r="CI44" s="156">
        <f t="shared" si="37"/>
        <v>0</v>
      </c>
      <c r="CJ44" s="156">
        <f t="shared" si="37"/>
        <v>0</v>
      </c>
      <c r="CK44" s="156">
        <f t="shared" si="37"/>
        <v>0</v>
      </c>
      <c r="CL44" s="156">
        <f t="shared" si="37"/>
        <v>0</v>
      </c>
      <c r="CM44" s="156">
        <f t="shared" si="37"/>
        <v>0</v>
      </c>
      <c r="CN44" s="156">
        <f t="shared" si="37"/>
        <v>0</v>
      </c>
      <c r="CO44" s="156">
        <f t="shared" si="37"/>
        <v>0</v>
      </c>
      <c r="CP44" s="156">
        <f t="shared" si="37"/>
        <v>0</v>
      </c>
      <c r="CQ44" s="156">
        <f t="shared" si="37"/>
        <v>0</v>
      </c>
      <c r="CR44" s="156">
        <f t="shared" si="37"/>
        <v>0</v>
      </c>
      <c r="CS44" s="156">
        <f t="shared" si="37"/>
        <v>0</v>
      </c>
      <c r="CT44" s="156">
        <f t="shared" si="37"/>
        <v>0</v>
      </c>
      <c r="CU44" s="156">
        <f t="shared" si="37"/>
        <v>0</v>
      </c>
      <c r="CV44" s="156">
        <f t="shared" si="37"/>
        <v>0</v>
      </c>
      <c r="CW44" s="156">
        <f t="shared" si="37"/>
        <v>0</v>
      </c>
      <c r="CX44" s="156">
        <f t="shared" si="37"/>
        <v>0</v>
      </c>
      <c r="CY44" s="156">
        <f t="shared" si="37"/>
        <v>2.637628124999999</v>
      </c>
      <c r="DA44" s="156">
        <f>MAX(B44:CY44)</f>
        <v>26.616065625</v>
      </c>
      <c r="DB44" s="156">
        <f>MIN(B44:CY44)</f>
        <v>-26.13649687499997</v>
      </c>
      <c r="DC44" s="156">
        <f>ABS(DB44)</f>
        <v>26.13649687499997</v>
      </c>
      <c r="DE44" s="156">
        <f>MAX(DA44,DC44)</f>
        <v>26.616065625</v>
      </c>
    </row>
    <row r="46" spans="1:109" ht="11.25">
      <c r="A46" s="156" t="s">
        <v>328</v>
      </c>
      <c r="B46" s="156">
        <f>IF(B16&gt;$B$2,0,$B$9*$B$2*B16^2*($B$2^2+B16^2-(2*$B$2*B16))*10000000/(24*$B$7*$B$8*$B$2))</f>
        <v>0</v>
      </c>
      <c r="C46" s="156">
        <f aca="true" t="shared" si="38" ref="C46:BN46">IF(C16&gt;$B$2,0,$B$9*$B$2*C16^2*($B$2^2+C16^2-(2*$B$2*C16))*10000000/(24*$B$7*$B$8*$B$2))</f>
        <v>4.505468501984128</v>
      </c>
      <c r="D46" s="156">
        <f t="shared" si="38"/>
        <v>17.366588293650796</v>
      </c>
      <c r="E46" s="156">
        <f t="shared" si="38"/>
        <v>37.627734375</v>
      </c>
      <c r="F46" s="156">
        <f t="shared" si="38"/>
        <v>64.3696865079365</v>
      </c>
      <c r="G46" s="156">
        <f t="shared" si="38"/>
        <v>96.70962921626985</v>
      </c>
      <c r="H46" s="156">
        <f t="shared" si="38"/>
        <v>133.80115178571424</v>
      </c>
      <c r="I46" s="156">
        <f t="shared" si="38"/>
        <v>174.83424826388887</v>
      </c>
      <c r="J46" s="156">
        <f t="shared" si="38"/>
        <v>219.03531746031743</v>
      </c>
      <c r="K46" s="156">
        <f t="shared" si="38"/>
        <v>265.6671629464285</v>
      </c>
      <c r="L46" s="156">
        <f t="shared" si="38"/>
        <v>314.0289930555555</v>
      </c>
      <c r="M46" s="156">
        <f t="shared" si="38"/>
        <v>363.45642088293636</v>
      </c>
      <c r="N46" s="156">
        <f t="shared" si="38"/>
        <v>413.3214642857142</v>
      </c>
      <c r="O46" s="156">
        <f t="shared" si="38"/>
        <v>463.0325458829365</v>
      </c>
      <c r="P46" s="156">
        <f t="shared" si="38"/>
        <v>512.0344930555556</v>
      </c>
      <c r="Q46" s="156">
        <f t="shared" si="38"/>
        <v>559.8085379464288</v>
      </c>
      <c r="R46" s="156">
        <f t="shared" si="38"/>
        <v>605.8723174603175</v>
      </c>
      <c r="S46" s="156">
        <f t="shared" si="38"/>
        <v>649.779873263889</v>
      </c>
      <c r="T46" s="156">
        <f t="shared" si="38"/>
        <v>691.1216517857141</v>
      </c>
      <c r="U46" s="156">
        <f t="shared" si="38"/>
        <v>729.52450421627</v>
      </c>
      <c r="V46" s="156">
        <f t="shared" si="38"/>
        <v>764.6516865079368</v>
      </c>
      <c r="W46" s="156">
        <f t="shared" si="38"/>
        <v>796.2028593749999</v>
      </c>
      <c r="X46" s="156">
        <f t="shared" si="38"/>
        <v>823.9140882936508</v>
      </c>
      <c r="Y46" s="156">
        <f t="shared" si="38"/>
        <v>847.5578435019842</v>
      </c>
      <c r="Z46" s="156">
        <f t="shared" si="38"/>
        <v>866.9429999999999</v>
      </c>
      <c r="AA46" s="156">
        <f t="shared" si="38"/>
        <v>881.914837549603</v>
      </c>
      <c r="AB46" s="156">
        <f t="shared" si="38"/>
        <v>892.355040674603</v>
      </c>
      <c r="AC46" s="156">
        <f t="shared" si="38"/>
        <v>898.1816986607141</v>
      </c>
      <c r="AD46" s="156">
        <f t="shared" si="38"/>
        <v>899.3493055555552</v>
      </c>
      <c r="AE46" s="156">
        <f t="shared" si="38"/>
        <v>895.8487601686508</v>
      </c>
      <c r="AF46" s="156">
        <f t="shared" si="38"/>
        <v>887.707366071429</v>
      </c>
      <c r="AG46" s="156">
        <f t="shared" si="38"/>
        <v>874.9888315972215</v>
      </c>
      <c r="AH46" s="156">
        <f t="shared" si="38"/>
        <v>857.7932698412686</v>
      </c>
      <c r="AI46" s="156">
        <f t="shared" si="38"/>
        <v>836.2571986607139</v>
      </c>
      <c r="AJ46" s="156">
        <f t="shared" si="38"/>
        <v>810.553540674603</v>
      </c>
      <c r="AK46" s="156">
        <f t="shared" si="38"/>
        <v>780.8916232638885</v>
      </c>
      <c r="AL46" s="156">
        <f t="shared" si="38"/>
        <v>747.5171785714269</v>
      </c>
      <c r="AM46" s="156">
        <f t="shared" si="38"/>
        <v>710.7123435019831</v>
      </c>
      <c r="AN46" s="156">
        <f t="shared" si="38"/>
        <v>670.7956597222212</v>
      </c>
      <c r="AO46" s="156">
        <f t="shared" si="38"/>
        <v>628.1220736607141</v>
      </c>
      <c r="AP46" s="156">
        <f t="shared" si="38"/>
        <v>583.0829365079343</v>
      </c>
      <c r="AQ46" s="156">
        <f t="shared" si="38"/>
        <v>536.1060042162701</v>
      </c>
      <c r="AR46" s="156">
        <f t="shared" si="38"/>
        <v>487.65543749999966</v>
      </c>
      <c r="AS46" s="156">
        <f t="shared" si="38"/>
        <v>438.2318018353175</v>
      </c>
      <c r="AT46" s="156">
        <f t="shared" si="38"/>
        <v>388.37206746031694</v>
      </c>
      <c r="AU46" s="156">
        <f t="shared" si="38"/>
        <v>338.6496093749997</v>
      </c>
      <c r="AV46" s="156">
        <f t="shared" si="38"/>
        <v>289.6742073412686</v>
      </c>
      <c r="AW46" s="156">
        <f t="shared" si="38"/>
        <v>242.09204588293767</v>
      </c>
      <c r="AX46" s="156">
        <f t="shared" si="38"/>
        <v>196.58571428571418</v>
      </c>
      <c r="AY46" s="156">
        <f t="shared" si="38"/>
        <v>153.87420659722454</v>
      </c>
      <c r="AZ46" s="156">
        <f t="shared" si="38"/>
        <v>114.7129216269848</v>
      </c>
      <c r="BA46" s="156">
        <f t="shared" si="38"/>
        <v>79.89366294642872</v>
      </c>
      <c r="BB46" s="156">
        <f t="shared" si="38"/>
        <v>50.24463888888977</v>
      </c>
      <c r="BC46" s="156">
        <f t="shared" si="38"/>
        <v>26.630462549603145</v>
      </c>
      <c r="BD46" s="156">
        <f t="shared" si="38"/>
        <v>9.95215178571465</v>
      </c>
      <c r="BE46" s="156">
        <f t="shared" si="38"/>
        <v>1.1471292162687965</v>
      </c>
      <c r="BF46" s="156">
        <f t="shared" si="38"/>
        <v>0</v>
      </c>
      <c r="BG46" s="156">
        <f t="shared" si="38"/>
        <v>0</v>
      </c>
      <c r="BH46" s="156">
        <f t="shared" si="38"/>
        <v>0</v>
      </c>
      <c r="BI46" s="156">
        <f t="shared" si="38"/>
        <v>0</v>
      </c>
      <c r="BJ46" s="156">
        <f t="shared" si="38"/>
        <v>0</v>
      </c>
      <c r="BK46" s="156">
        <f t="shared" si="38"/>
        <v>0</v>
      </c>
      <c r="BL46" s="156">
        <f t="shared" si="38"/>
        <v>0</v>
      </c>
      <c r="BM46" s="156">
        <f t="shared" si="38"/>
        <v>0</v>
      </c>
      <c r="BN46" s="156">
        <f t="shared" si="38"/>
        <v>0</v>
      </c>
      <c r="BO46" s="156">
        <f aca="true" t="shared" si="39" ref="BO46:CY46">IF(BO16&gt;$B$2,0,$B$9*$B$2*BO16^2*($B$2^2+BO16^2-(2*$B$2*BO16))*10000000/(24*$B$7*$B$8*$B$2))</f>
        <v>0</v>
      </c>
      <c r="BP46" s="156">
        <f t="shared" si="39"/>
        <v>0</v>
      </c>
      <c r="BQ46" s="156">
        <f t="shared" si="39"/>
        <v>0</v>
      </c>
      <c r="BR46" s="156">
        <f t="shared" si="39"/>
        <v>0</v>
      </c>
      <c r="BS46" s="156">
        <f t="shared" si="39"/>
        <v>0</v>
      </c>
      <c r="BT46" s="156">
        <f t="shared" si="39"/>
        <v>0</v>
      </c>
      <c r="BU46" s="156">
        <f t="shared" si="39"/>
        <v>0</v>
      </c>
      <c r="BV46" s="156">
        <f t="shared" si="39"/>
        <v>0</v>
      </c>
      <c r="BW46" s="156">
        <f t="shared" si="39"/>
        <v>0</v>
      </c>
      <c r="BX46" s="156">
        <f t="shared" si="39"/>
        <v>0</v>
      </c>
      <c r="BY46" s="156">
        <f t="shared" si="39"/>
        <v>0</v>
      </c>
      <c r="BZ46" s="156">
        <f t="shared" si="39"/>
        <v>0</v>
      </c>
      <c r="CA46" s="156">
        <f t="shared" si="39"/>
        <v>0</v>
      </c>
      <c r="CB46" s="156">
        <f t="shared" si="39"/>
        <v>0</v>
      </c>
      <c r="CC46" s="156">
        <f t="shared" si="39"/>
        <v>0</v>
      </c>
      <c r="CD46" s="156">
        <f t="shared" si="39"/>
        <v>0</v>
      </c>
      <c r="CE46" s="156">
        <f t="shared" si="39"/>
        <v>0</v>
      </c>
      <c r="CF46" s="156">
        <f t="shared" si="39"/>
        <v>0</v>
      </c>
      <c r="CG46" s="156">
        <f t="shared" si="39"/>
        <v>0</v>
      </c>
      <c r="CH46" s="156">
        <f t="shared" si="39"/>
        <v>0</v>
      </c>
      <c r="CI46" s="156">
        <f t="shared" si="39"/>
        <v>0</v>
      </c>
      <c r="CJ46" s="156">
        <f t="shared" si="39"/>
        <v>0</v>
      </c>
      <c r="CK46" s="156">
        <f t="shared" si="39"/>
        <v>0</v>
      </c>
      <c r="CL46" s="156">
        <f t="shared" si="39"/>
        <v>0</v>
      </c>
      <c r="CM46" s="156">
        <f t="shared" si="39"/>
        <v>0</v>
      </c>
      <c r="CN46" s="156">
        <f t="shared" si="39"/>
        <v>0</v>
      </c>
      <c r="CO46" s="156">
        <f t="shared" si="39"/>
        <v>0</v>
      </c>
      <c r="CP46" s="156">
        <f t="shared" si="39"/>
        <v>0</v>
      </c>
      <c r="CQ46" s="156">
        <f t="shared" si="39"/>
        <v>0</v>
      </c>
      <c r="CR46" s="156">
        <f t="shared" si="39"/>
        <v>0</v>
      </c>
      <c r="CS46" s="156">
        <f t="shared" si="39"/>
        <v>0</v>
      </c>
      <c r="CT46" s="156">
        <f t="shared" si="39"/>
        <v>0</v>
      </c>
      <c r="CU46" s="156">
        <f t="shared" si="39"/>
        <v>0</v>
      </c>
      <c r="CV46" s="156">
        <f t="shared" si="39"/>
        <v>0</v>
      </c>
      <c r="CW46" s="156">
        <f t="shared" si="39"/>
        <v>0</v>
      </c>
      <c r="CX46" s="156">
        <f t="shared" si="39"/>
        <v>0</v>
      </c>
      <c r="CY46" s="156">
        <f t="shared" si="39"/>
        <v>881.9148375496027</v>
      </c>
      <c r="DA46" s="156">
        <f>MAX(B46:CY46)</f>
        <v>899.3493055555552</v>
      </c>
      <c r="DB46" s="156">
        <f>MIN(B46:CY46)</f>
        <v>0</v>
      </c>
      <c r="DC46" s="156">
        <f>ABS(DB46)</f>
        <v>0</v>
      </c>
      <c r="DE46" s="156">
        <f>MAX(DA46,DC46)</f>
        <v>899.3493055555552</v>
      </c>
    </row>
    <row r="47" spans="1:109" ht="11.25">
      <c r="A47" s="160" t="s">
        <v>329</v>
      </c>
      <c r="B47" s="156">
        <f>IF(B16&gt;$B$2,0,IF(B16&lt;=$B$5,(($F$5*B16^2/2)-($F$3*B16^3/6))/($B$7*$B$8)*10000000,(($F$4*(($B$2*B16^2/2)-(B16^3/6)))-($F$6*B16^2/2)-($F$7*B16)-$F$8)/($B$7*$B$8)*-10000000))</f>
        <v>0</v>
      </c>
      <c r="C47" s="156">
        <f aca="true" t="shared" si="40" ref="C47:BN47">IF(C16&gt;$B$2,0,IF(C16&lt;=$B$5,(($F$5*C16^2/2)-($F$3*C16^3/6))/($B$7*$B$8)*10000000,(($F$4*(($B$2*C16^2/2)-(C16^3/6)))-($F$6*C16^2/2)-($F$7*C16)-$F$8)/($B$7*$B$8)*-10000000))</f>
        <v>0</v>
      </c>
      <c r="D47" s="156">
        <f t="shared" si="40"/>
        <v>0</v>
      </c>
      <c r="E47" s="156">
        <f t="shared" si="40"/>
        <v>0</v>
      </c>
      <c r="F47" s="156">
        <f t="shared" si="40"/>
        <v>0</v>
      </c>
      <c r="G47" s="156">
        <f t="shared" si="40"/>
        <v>0</v>
      </c>
      <c r="H47" s="156">
        <f t="shared" si="40"/>
        <v>0</v>
      </c>
      <c r="I47" s="156">
        <f t="shared" si="40"/>
        <v>0</v>
      </c>
      <c r="J47" s="156">
        <f t="shared" si="40"/>
        <v>0</v>
      </c>
      <c r="K47" s="156">
        <f t="shared" si="40"/>
        <v>0</v>
      </c>
      <c r="L47" s="156">
        <f t="shared" si="40"/>
        <v>0</v>
      </c>
      <c r="M47" s="156">
        <f t="shared" si="40"/>
        <v>0</v>
      </c>
      <c r="N47" s="156">
        <f t="shared" si="40"/>
        <v>0</v>
      </c>
      <c r="O47" s="156">
        <f t="shared" si="40"/>
        <v>0</v>
      </c>
      <c r="P47" s="156">
        <f t="shared" si="40"/>
        <v>0</v>
      </c>
      <c r="Q47" s="156">
        <f t="shared" si="40"/>
        <v>0</v>
      </c>
      <c r="R47" s="156">
        <f t="shared" si="40"/>
        <v>0</v>
      </c>
      <c r="S47" s="156">
        <f t="shared" si="40"/>
        <v>0</v>
      </c>
      <c r="T47" s="156">
        <f t="shared" si="40"/>
        <v>0</v>
      </c>
      <c r="U47" s="156">
        <f t="shared" si="40"/>
        <v>0</v>
      </c>
      <c r="V47" s="156">
        <f t="shared" si="40"/>
        <v>0</v>
      </c>
      <c r="W47" s="156">
        <f t="shared" si="40"/>
        <v>0</v>
      </c>
      <c r="X47" s="156">
        <f t="shared" si="40"/>
        <v>0</v>
      </c>
      <c r="Y47" s="156">
        <f t="shared" si="40"/>
        <v>0</v>
      </c>
      <c r="Z47" s="156">
        <f t="shared" si="40"/>
        <v>0</v>
      </c>
      <c r="AA47" s="156">
        <f t="shared" si="40"/>
        <v>0</v>
      </c>
      <c r="AB47" s="156">
        <f t="shared" si="40"/>
        <v>0</v>
      </c>
      <c r="AC47" s="156">
        <f t="shared" si="40"/>
        <v>0</v>
      </c>
      <c r="AD47" s="156">
        <f t="shared" si="40"/>
        <v>0</v>
      </c>
      <c r="AE47" s="156">
        <f t="shared" si="40"/>
        <v>0</v>
      </c>
      <c r="AF47" s="156">
        <f t="shared" si="40"/>
        <v>0</v>
      </c>
      <c r="AG47" s="156">
        <f t="shared" si="40"/>
        <v>0</v>
      </c>
      <c r="AH47" s="156">
        <f t="shared" si="40"/>
        <v>0</v>
      </c>
      <c r="AI47" s="156">
        <f t="shared" si="40"/>
        <v>0</v>
      </c>
      <c r="AJ47" s="156">
        <f t="shared" si="40"/>
        <v>0</v>
      </c>
      <c r="AK47" s="156">
        <f t="shared" si="40"/>
        <v>0</v>
      </c>
      <c r="AL47" s="156">
        <f t="shared" si="40"/>
        <v>0</v>
      </c>
      <c r="AM47" s="156">
        <f t="shared" si="40"/>
        <v>0</v>
      </c>
      <c r="AN47" s="156">
        <f t="shared" si="40"/>
        <v>0</v>
      </c>
      <c r="AO47" s="156">
        <f t="shared" si="40"/>
        <v>0</v>
      </c>
      <c r="AP47" s="156">
        <f t="shared" si="40"/>
        <v>0</v>
      </c>
      <c r="AQ47" s="156">
        <f t="shared" si="40"/>
        <v>0</v>
      </c>
      <c r="AR47" s="156">
        <f t="shared" si="40"/>
        <v>0</v>
      </c>
      <c r="AS47" s="156">
        <f t="shared" si="40"/>
        <v>0</v>
      </c>
      <c r="AT47" s="156">
        <f t="shared" si="40"/>
        <v>0</v>
      </c>
      <c r="AU47" s="156">
        <f t="shared" si="40"/>
        <v>0</v>
      </c>
      <c r="AV47" s="156">
        <f t="shared" si="40"/>
        <v>0</v>
      </c>
      <c r="AW47" s="156">
        <f t="shared" si="40"/>
        <v>0</v>
      </c>
      <c r="AX47" s="156">
        <f t="shared" si="40"/>
        <v>0</v>
      </c>
      <c r="AY47" s="156">
        <f t="shared" si="40"/>
        <v>0</v>
      </c>
      <c r="AZ47" s="156">
        <f t="shared" si="40"/>
        <v>0</v>
      </c>
      <c r="BA47" s="156">
        <f t="shared" si="40"/>
        <v>0</v>
      </c>
      <c r="BB47" s="156">
        <f t="shared" si="40"/>
        <v>0</v>
      </c>
      <c r="BC47" s="156">
        <f t="shared" si="40"/>
        <v>0</v>
      </c>
      <c r="BD47" s="156">
        <f t="shared" si="40"/>
        <v>0</v>
      </c>
      <c r="BE47" s="156">
        <f t="shared" si="40"/>
        <v>0</v>
      </c>
      <c r="BF47" s="156">
        <f t="shared" si="40"/>
        <v>0</v>
      </c>
      <c r="BG47" s="156">
        <f t="shared" si="40"/>
        <v>0</v>
      </c>
      <c r="BH47" s="156">
        <f t="shared" si="40"/>
        <v>0</v>
      </c>
      <c r="BI47" s="156">
        <f t="shared" si="40"/>
        <v>0</v>
      </c>
      <c r="BJ47" s="156">
        <f t="shared" si="40"/>
        <v>0</v>
      </c>
      <c r="BK47" s="156">
        <f t="shared" si="40"/>
        <v>0</v>
      </c>
      <c r="BL47" s="156">
        <f t="shared" si="40"/>
        <v>0</v>
      </c>
      <c r="BM47" s="156">
        <f t="shared" si="40"/>
        <v>0</v>
      </c>
      <c r="BN47" s="156">
        <f t="shared" si="40"/>
        <v>0</v>
      </c>
      <c r="BO47" s="156">
        <f aca="true" t="shared" si="41" ref="BO47:CY47">IF(BO16&gt;$B$2,0,IF(BO16&lt;=$B$5,(($F$5*BO16^2/2)-($F$3*BO16^3/6))/($B$7*$B$8)*10000000,(($F$4*(($B$2*BO16^2/2)-(BO16^3/6)))-($F$6*BO16^2/2)-($F$7*BO16)-$F$8)/($B$7*$B$8)*-10000000))</f>
        <v>0</v>
      </c>
      <c r="BP47" s="156">
        <f t="shared" si="41"/>
        <v>0</v>
      </c>
      <c r="BQ47" s="156">
        <f t="shared" si="41"/>
        <v>0</v>
      </c>
      <c r="BR47" s="156">
        <f t="shared" si="41"/>
        <v>0</v>
      </c>
      <c r="BS47" s="156">
        <f t="shared" si="41"/>
        <v>0</v>
      </c>
      <c r="BT47" s="156">
        <f t="shared" si="41"/>
        <v>0</v>
      </c>
      <c r="BU47" s="156">
        <f t="shared" si="41"/>
        <v>0</v>
      </c>
      <c r="BV47" s="156">
        <f t="shared" si="41"/>
        <v>0</v>
      </c>
      <c r="BW47" s="156">
        <f t="shared" si="41"/>
        <v>0</v>
      </c>
      <c r="BX47" s="156">
        <f t="shared" si="41"/>
        <v>0</v>
      </c>
      <c r="BY47" s="156">
        <f t="shared" si="41"/>
        <v>0</v>
      </c>
      <c r="BZ47" s="156">
        <f t="shared" si="41"/>
        <v>0</v>
      </c>
      <c r="CA47" s="156">
        <f t="shared" si="41"/>
        <v>0</v>
      </c>
      <c r="CB47" s="156">
        <f t="shared" si="41"/>
        <v>0</v>
      </c>
      <c r="CC47" s="156">
        <f t="shared" si="41"/>
        <v>0</v>
      </c>
      <c r="CD47" s="156">
        <f t="shared" si="41"/>
        <v>0</v>
      </c>
      <c r="CE47" s="156">
        <f t="shared" si="41"/>
        <v>0</v>
      </c>
      <c r="CF47" s="156">
        <f t="shared" si="41"/>
        <v>0</v>
      </c>
      <c r="CG47" s="156">
        <f t="shared" si="41"/>
        <v>0</v>
      </c>
      <c r="CH47" s="156">
        <f t="shared" si="41"/>
        <v>0</v>
      </c>
      <c r="CI47" s="156">
        <f t="shared" si="41"/>
        <v>0</v>
      </c>
      <c r="CJ47" s="156">
        <f t="shared" si="41"/>
        <v>0</v>
      </c>
      <c r="CK47" s="156">
        <f t="shared" si="41"/>
        <v>0</v>
      </c>
      <c r="CL47" s="156">
        <f t="shared" si="41"/>
        <v>0</v>
      </c>
      <c r="CM47" s="156">
        <f t="shared" si="41"/>
        <v>0</v>
      </c>
      <c r="CN47" s="156">
        <f t="shared" si="41"/>
        <v>0</v>
      </c>
      <c r="CO47" s="156">
        <f t="shared" si="41"/>
        <v>0</v>
      </c>
      <c r="CP47" s="156">
        <f t="shared" si="41"/>
        <v>0</v>
      </c>
      <c r="CQ47" s="156">
        <f t="shared" si="41"/>
        <v>0</v>
      </c>
      <c r="CR47" s="156">
        <f t="shared" si="41"/>
        <v>0</v>
      </c>
      <c r="CS47" s="156">
        <f t="shared" si="41"/>
        <v>0</v>
      </c>
      <c r="CT47" s="156">
        <f t="shared" si="41"/>
        <v>0</v>
      </c>
      <c r="CU47" s="156">
        <f t="shared" si="41"/>
        <v>0</v>
      </c>
      <c r="CV47" s="156">
        <f t="shared" si="41"/>
        <v>0</v>
      </c>
      <c r="CW47" s="156">
        <f t="shared" si="41"/>
        <v>0</v>
      </c>
      <c r="CX47" s="156">
        <f t="shared" si="41"/>
        <v>0</v>
      </c>
      <c r="CY47" s="156">
        <f t="shared" si="41"/>
        <v>0</v>
      </c>
      <c r="DA47" s="156">
        <f>MAX(B47:CY47)</f>
        <v>0</v>
      </c>
      <c r="DB47" s="156">
        <f>MIN(B47:CY47)</f>
        <v>0</v>
      </c>
      <c r="DC47" s="156">
        <f>ABS(DB47)</f>
        <v>0</v>
      </c>
      <c r="DE47" s="156">
        <f>MAX(DA47,DC47)</f>
        <v>0</v>
      </c>
    </row>
    <row r="48" spans="1:109" ht="11.25">
      <c r="A48" s="156" t="s">
        <v>75</v>
      </c>
      <c r="B48" s="156">
        <f>B46+B47</f>
        <v>0</v>
      </c>
      <c r="C48" s="156">
        <f aca="true" t="shared" si="42" ref="C48:BN48">C46+C47</f>
        <v>4.505468501984128</v>
      </c>
      <c r="D48" s="156">
        <f t="shared" si="42"/>
        <v>17.366588293650796</v>
      </c>
      <c r="E48" s="156">
        <f t="shared" si="42"/>
        <v>37.627734375</v>
      </c>
      <c r="F48" s="156">
        <f t="shared" si="42"/>
        <v>64.3696865079365</v>
      </c>
      <c r="G48" s="156">
        <f t="shared" si="42"/>
        <v>96.70962921626985</v>
      </c>
      <c r="H48" s="156">
        <f t="shared" si="42"/>
        <v>133.80115178571424</v>
      </c>
      <c r="I48" s="156">
        <f t="shared" si="42"/>
        <v>174.83424826388887</v>
      </c>
      <c r="J48" s="156">
        <f t="shared" si="42"/>
        <v>219.03531746031743</v>
      </c>
      <c r="K48" s="156">
        <f t="shared" si="42"/>
        <v>265.6671629464285</v>
      </c>
      <c r="L48" s="156">
        <f t="shared" si="42"/>
        <v>314.0289930555555</v>
      </c>
      <c r="M48" s="156">
        <f t="shared" si="42"/>
        <v>363.45642088293636</v>
      </c>
      <c r="N48" s="156">
        <f t="shared" si="42"/>
        <v>413.3214642857142</v>
      </c>
      <c r="O48" s="156">
        <f t="shared" si="42"/>
        <v>463.0325458829365</v>
      </c>
      <c r="P48" s="156">
        <f t="shared" si="42"/>
        <v>512.0344930555556</v>
      </c>
      <c r="Q48" s="156">
        <f t="shared" si="42"/>
        <v>559.8085379464288</v>
      </c>
      <c r="R48" s="156">
        <f t="shared" si="42"/>
        <v>605.8723174603175</v>
      </c>
      <c r="S48" s="156">
        <f t="shared" si="42"/>
        <v>649.779873263889</v>
      </c>
      <c r="T48" s="156">
        <f t="shared" si="42"/>
        <v>691.1216517857141</v>
      </c>
      <c r="U48" s="156">
        <f t="shared" si="42"/>
        <v>729.52450421627</v>
      </c>
      <c r="V48" s="156">
        <f t="shared" si="42"/>
        <v>764.6516865079368</v>
      </c>
      <c r="W48" s="156">
        <f t="shared" si="42"/>
        <v>796.2028593749999</v>
      </c>
      <c r="X48" s="156">
        <f t="shared" si="42"/>
        <v>823.9140882936508</v>
      </c>
      <c r="Y48" s="156">
        <f t="shared" si="42"/>
        <v>847.5578435019842</v>
      </c>
      <c r="Z48" s="156">
        <f t="shared" si="42"/>
        <v>866.9429999999999</v>
      </c>
      <c r="AA48" s="156">
        <f t="shared" si="42"/>
        <v>881.914837549603</v>
      </c>
      <c r="AB48" s="156">
        <f t="shared" si="42"/>
        <v>892.355040674603</v>
      </c>
      <c r="AC48" s="156">
        <f t="shared" si="42"/>
        <v>898.1816986607141</v>
      </c>
      <c r="AD48" s="156">
        <f t="shared" si="42"/>
        <v>899.3493055555552</v>
      </c>
      <c r="AE48" s="156">
        <f t="shared" si="42"/>
        <v>895.8487601686508</v>
      </c>
      <c r="AF48" s="156">
        <f t="shared" si="42"/>
        <v>887.707366071429</v>
      </c>
      <c r="AG48" s="156">
        <f t="shared" si="42"/>
        <v>874.9888315972215</v>
      </c>
      <c r="AH48" s="156">
        <f t="shared" si="42"/>
        <v>857.7932698412686</v>
      </c>
      <c r="AI48" s="156">
        <f t="shared" si="42"/>
        <v>836.2571986607139</v>
      </c>
      <c r="AJ48" s="156">
        <f t="shared" si="42"/>
        <v>810.553540674603</v>
      </c>
      <c r="AK48" s="156">
        <f t="shared" si="42"/>
        <v>780.8916232638885</v>
      </c>
      <c r="AL48" s="156">
        <f t="shared" si="42"/>
        <v>747.5171785714269</v>
      </c>
      <c r="AM48" s="156">
        <f t="shared" si="42"/>
        <v>710.7123435019831</v>
      </c>
      <c r="AN48" s="156">
        <f t="shared" si="42"/>
        <v>670.7956597222212</v>
      </c>
      <c r="AO48" s="156">
        <f t="shared" si="42"/>
        <v>628.1220736607141</v>
      </c>
      <c r="AP48" s="156">
        <f t="shared" si="42"/>
        <v>583.0829365079343</v>
      </c>
      <c r="AQ48" s="156">
        <f t="shared" si="42"/>
        <v>536.1060042162701</v>
      </c>
      <c r="AR48" s="156">
        <f t="shared" si="42"/>
        <v>487.65543749999966</v>
      </c>
      <c r="AS48" s="156">
        <f t="shared" si="42"/>
        <v>438.2318018353175</v>
      </c>
      <c r="AT48" s="156">
        <f t="shared" si="42"/>
        <v>388.37206746031694</v>
      </c>
      <c r="AU48" s="156">
        <f t="shared" si="42"/>
        <v>338.6496093749997</v>
      </c>
      <c r="AV48" s="156">
        <f t="shared" si="42"/>
        <v>289.6742073412686</v>
      </c>
      <c r="AW48" s="156">
        <f t="shared" si="42"/>
        <v>242.09204588293767</v>
      </c>
      <c r="AX48" s="156">
        <f t="shared" si="42"/>
        <v>196.58571428571418</v>
      </c>
      <c r="AY48" s="156">
        <f t="shared" si="42"/>
        <v>153.87420659722454</v>
      </c>
      <c r="AZ48" s="156">
        <f t="shared" si="42"/>
        <v>114.7129216269848</v>
      </c>
      <c r="BA48" s="156">
        <f t="shared" si="42"/>
        <v>79.89366294642872</v>
      </c>
      <c r="BB48" s="156">
        <f t="shared" si="42"/>
        <v>50.24463888888977</v>
      </c>
      <c r="BC48" s="156">
        <f t="shared" si="42"/>
        <v>26.630462549603145</v>
      </c>
      <c r="BD48" s="156">
        <f t="shared" si="42"/>
        <v>9.95215178571465</v>
      </c>
      <c r="BE48" s="156">
        <f t="shared" si="42"/>
        <v>1.1471292162687965</v>
      </c>
      <c r="BF48" s="156">
        <f t="shared" si="42"/>
        <v>0</v>
      </c>
      <c r="BG48" s="156">
        <f t="shared" si="42"/>
        <v>0</v>
      </c>
      <c r="BH48" s="156">
        <f t="shared" si="42"/>
        <v>0</v>
      </c>
      <c r="BI48" s="156">
        <f t="shared" si="42"/>
        <v>0</v>
      </c>
      <c r="BJ48" s="156">
        <f t="shared" si="42"/>
        <v>0</v>
      </c>
      <c r="BK48" s="156">
        <f t="shared" si="42"/>
        <v>0</v>
      </c>
      <c r="BL48" s="156">
        <f t="shared" si="42"/>
        <v>0</v>
      </c>
      <c r="BM48" s="156">
        <f t="shared" si="42"/>
        <v>0</v>
      </c>
      <c r="BN48" s="156">
        <f t="shared" si="42"/>
        <v>0</v>
      </c>
      <c r="BO48" s="156">
        <f aca="true" t="shared" si="43" ref="BO48:CY48">BO46+BO47</f>
        <v>0</v>
      </c>
      <c r="BP48" s="156">
        <f t="shared" si="43"/>
        <v>0</v>
      </c>
      <c r="BQ48" s="156">
        <f t="shared" si="43"/>
        <v>0</v>
      </c>
      <c r="BR48" s="156">
        <f t="shared" si="43"/>
        <v>0</v>
      </c>
      <c r="BS48" s="156">
        <f t="shared" si="43"/>
        <v>0</v>
      </c>
      <c r="BT48" s="156">
        <f t="shared" si="43"/>
        <v>0</v>
      </c>
      <c r="BU48" s="156">
        <f t="shared" si="43"/>
        <v>0</v>
      </c>
      <c r="BV48" s="156">
        <f t="shared" si="43"/>
        <v>0</v>
      </c>
      <c r="BW48" s="156">
        <f t="shared" si="43"/>
        <v>0</v>
      </c>
      <c r="BX48" s="156">
        <f t="shared" si="43"/>
        <v>0</v>
      </c>
      <c r="BY48" s="156">
        <f t="shared" si="43"/>
        <v>0</v>
      </c>
      <c r="BZ48" s="156">
        <f t="shared" si="43"/>
        <v>0</v>
      </c>
      <c r="CA48" s="156">
        <f t="shared" si="43"/>
        <v>0</v>
      </c>
      <c r="CB48" s="156">
        <f t="shared" si="43"/>
        <v>0</v>
      </c>
      <c r="CC48" s="156">
        <f t="shared" si="43"/>
        <v>0</v>
      </c>
      <c r="CD48" s="156">
        <f t="shared" si="43"/>
        <v>0</v>
      </c>
      <c r="CE48" s="156">
        <f t="shared" si="43"/>
        <v>0</v>
      </c>
      <c r="CF48" s="156">
        <f t="shared" si="43"/>
        <v>0</v>
      </c>
      <c r="CG48" s="156">
        <f t="shared" si="43"/>
        <v>0</v>
      </c>
      <c r="CH48" s="156">
        <f t="shared" si="43"/>
        <v>0</v>
      </c>
      <c r="CI48" s="156">
        <f t="shared" si="43"/>
        <v>0</v>
      </c>
      <c r="CJ48" s="156">
        <f t="shared" si="43"/>
        <v>0</v>
      </c>
      <c r="CK48" s="156">
        <f t="shared" si="43"/>
        <v>0</v>
      </c>
      <c r="CL48" s="156">
        <f t="shared" si="43"/>
        <v>0</v>
      </c>
      <c r="CM48" s="156">
        <f t="shared" si="43"/>
        <v>0</v>
      </c>
      <c r="CN48" s="156">
        <f t="shared" si="43"/>
        <v>0</v>
      </c>
      <c r="CO48" s="156">
        <f t="shared" si="43"/>
        <v>0</v>
      </c>
      <c r="CP48" s="156">
        <f t="shared" si="43"/>
        <v>0</v>
      </c>
      <c r="CQ48" s="156">
        <f t="shared" si="43"/>
        <v>0</v>
      </c>
      <c r="CR48" s="156">
        <f t="shared" si="43"/>
        <v>0</v>
      </c>
      <c r="CS48" s="156">
        <f t="shared" si="43"/>
        <v>0</v>
      </c>
      <c r="CT48" s="156">
        <f t="shared" si="43"/>
        <v>0</v>
      </c>
      <c r="CU48" s="156">
        <f t="shared" si="43"/>
        <v>0</v>
      </c>
      <c r="CV48" s="156">
        <f t="shared" si="43"/>
        <v>0</v>
      </c>
      <c r="CW48" s="156">
        <f t="shared" si="43"/>
        <v>0</v>
      </c>
      <c r="CX48" s="156">
        <f t="shared" si="43"/>
        <v>0</v>
      </c>
      <c r="CY48" s="156">
        <f t="shared" si="43"/>
        <v>881.9148375496027</v>
      </c>
      <c r="DA48" s="156">
        <f>MAX(B48:CY48)</f>
        <v>899.3493055555552</v>
      </c>
      <c r="DB48" s="156">
        <f>MIN(B48:CY48)</f>
        <v>0</v>
      </c>
      <c r="DC48" s="156">
        <f>ABS(DB48)</f>
        <v>0</v>
      </c>
      <c r="DE48" s="156">
        <f>MAX(DA48,DC48)</f>
        <v>899.3493055555552</v>
      </c>
    </row>
    <row r="50" spans="1:109" ht="11.25">
      <c r="A50" s="156" t="s">
        <v>340</v>
      </c>
      <c r="B50" s="156">
        <f>IF(B16&gt;$B$2,0,$B$9*$B$2*B16^2*($B$2^2+B16^2-(2*$B$2*B16))*10000000/(24*$B$7*$B$12*$B$2))</f>
        <v>0</v>
      </c>
      <c r="C50" s="156">
        <f aca="true" t="shared" si="44" ref="C50:BN50">IF(C16&gt;$B$2,0,$B$9*$B$2*C16^2*($B$2^2+C16^2-(2*$B$2*C16))*10000000/(24*$B$7*$B$12*$B$2))</f>
        <v>0.00487077675890176</v>
      </c>
      <c r="D50" s="156">
        <f t="shared" si="44"/>
        <v>0.01877469004719005</v>
      </c>
      <c r="E50" s="156">
        <f t="shared" si="44"/>
        <v>0.04067863175675676</v>
      </c>
      <c r="F50" s="156">
        <f t="shared" si="44"/>
        <v>0.06958885027885028</v>
      </c>
      <c r="G50" s="156">
        <f t="shared" si="44"/>
        <v>0.10455095050407551</v>
      </c>
      <c r="H50" s="156">
        <f t="shared" si="44"/>
        <v>0.1446498938223938</v>
      </c>
      <c r="I50" s="156">
        <f t="shared" si="44"/>
        <v>0.18900999812312308</v>
      </c>
      <c r="J50" s="156">
        <f t="shared" si="44"/>
        <v>0.23679493779493777</v>
      </c>
      <c r="K50" s="156">
        <f t="shared" si="44"/>
        <v>0.28720774372586866</v>
      </c>
      <c r="L50" s="156">
        <f t="shared" si="44"/>
        <v>0.3394908033033032</v>
      </c>
      <c r="M50" s="156">
        <f t="shared" si="44"/>
        <v>0.39292586041398525</v>
      </c>
      <c r="N50" s="156">
        <f t="shared" si="44"/>
        <v>0.44683401544401535</v>
      </c>
      <c r="O50" s="156">
        <f t="shared" si="44"/>
        <v>0.5005757252788503</v>
      </c>
      <c r="P50" s="156">
        <f t="shared" si="44"/>
        <v>0.5535508033033033</v>
      </c>
      <c r="Q50" s="156">
        <f t="shared" si="44"/>
        <v>0.6051984194015446</v>
      </c>
      <c r="R50" s="156">
        <f t="shared" si="44"/>
        <v>0.6549970999571</v>
      </c>
      <c r="S50" s="156">
        <f t="shared" si="44"/>
        <v>0.702464727852853</v>
      </c>
      <c r="T50" s="156">
        <f t="shared" si="44"/>
        <v>0.7471585424710423</v>
      </c>
      <c r="U50" s="156">
        <f t="shared" si="44"/>
        <v>0.7886751396932649</v>
      </c>
      <c r="V50" s="156">
        <f t="shared" si="44"/>
        <v>0.8266504719004723</v>
      </c>
      <c r="W50" s="156">
        <f t="shared" si="44"/>
        <v>0.8607598479729728</v>
      </c>
      <c r="X50" s="156">
        <f t="shared" si="44"/>
        <v>0.8907179332904333</v>
      </c>
      <c r="Y50" s="156">
        <f t="shared" si="44"/>
        <v>0.9162787497318747</v>
      </c>
      <c r="Z50" s="156">
        <f t="shared" si="44"/>
        <v>0.9372356756756756</v>
      </c>
      <c r="AA50" s="156">
        <f t="shared" si="44"/>
        <v>0.9534214459995709</v>
      </c>
      <c r="AB50" s="156">
        <f t="shared" si="44"/>
        <v>0.9647081520806517</v>
      </c>
      <c r="AC50" s="156">
        <f t="shared" si="44"/>
        <v>0.9710072417953667</v>
      </c>
      <c r="AD50" s="156">
        <f t="shared" si="44"/>
        <v>0.9722695195195192</v>
      </c>
      <c r="AE50" s="156">
        <f t="shared" si="44"/>
        <v>0.9684851461282711</v>
      </c>
      <c r="AF50" s="156">
        <f t="shared" si="44"/>
        <v>0.9596836389961394</v>
      </c>
      <c r="AG50" s="156">
        <f t="shared" si="44"/>
        <v>0.9459338719969963</v>
      </c>
      <c r="AH50" s="156">
        <f t="shared" si="44"/>
        <v>0.9273440755040742</v>
      </c>
      <c r="AI50" s="156">
        <f t="shared" si="44"/>
        <v>0.904061836389961</v>
      </c>
      <c r="AJ50" s="156">
        <f t="shared" si="44"/>
        <v>0.8762740980265978</v>
      </c>
      <c r="AK50" s="156">
        <f t="shared" si="44"/>
        <v>0.8442071602852849</v>
      </c>
      <c r="AL50" s="156">
        <f t="shared" si="44"/>
        <v>0.8081266795366777</v>
      </c>
      <c r="AM50" s="156">
        <f t="shared" si="44"/>
        <v>0.7683376686507927</v>
      </c>
      <c r="AN50" s="156">
        <f t="shared" si="44"/>
        <v>0.7251844969969959</v>
      </c>
      <c r="AO50" s="156">
        <f t="shared" si="44"/>
        <v>0.6790508904440153</v>
      </c>
      <c r="AP50" s="156">
        <f t="shared" si="44"/>
        <v>0.630359931359929</v>
      </c>
      <c r="AQ50" s="156">
        <f t="shared" si="44"/>
        <v>0.5795740586121838</v>
      </c>
      <c r="AR50" s="156">
        <f t="shared" si="44"/>
        <v>0.5271950675675672</v>
      </c>
      <c r="AS50" s="156">
        <f t="shared" si="44"/>
        <v>0.4737641100922352</v>
      </c>
      <c r="AT50" s="156">
        <f t="shared" si="44"/>
        <v>0.419861694551694</v>
      </c>
      <c r="AU50" s="156">
        <f t="shared" si="44"/>
        <v>0.3661076858108105</v>
      </c>
      <c r="AV50" s="156">
        <f t="shared" si="44"/>
        <v>0.31316130523380387</v>
      </c>
      <c r="AW50" s="156">
        <f t="shared" si="44"/>
        <v>0.26172113068425695</v>
      </c>
      <c r="AX50" s="156">
        <f t="shared" si="44"/>
        <v>0.2125250965250964</v>
      </c>
      <c r="AY50" s="156">
        <f t="shared" si="44"/>
        <v>0.16635049361862111</v>
      </c>
      <c r="AZ50" s="156">
        <f t="shared" si="44"/>
        <v>0.12401396932647005</v>
      </c>
      <c r="BA50" s="156">
        <f t="shared" si="44"/>
        <v>0.08637152750965267</v>
      </c>
      <c r="BB50" s="156">
        <f t="shared" si="44"/>
        <v>0.054318528528529475</v>
      </c>
      <c r="BC50" s="156">
        <f t="shared" si="44"/>
        <v>0.02878968924281421</v>
      </c>
      <c r="BD50" s="156">
        <f t="shared" si="44"/>
        <v>0.010759083011583405</v>
      </c>
      <c r="BE50" s="156">
        <f t="shared" si="44"/>
        <v>0.0012401396932635637</v>
      </c>
      <c r="BF50" s="156">
        <f t="shared" si="44"/>
        <v>0</v>
      </c>
      <c r="BG50" s="156">
        <f t="shared" si="44"/>
        <v>0</v>
      </c>
      <c r="BH50" s="156">
        <f t="shared" si="44"/>
        <v>0</v>
      </c>
      <c r="BI50" s="156">
        <f t="shared" si="44"/>
        <v>0</v>
      </c>
      <c r="BJ50" s="156">
        <f t="shared" si="44"/>
        <v>0</v>
      </c>
      <c r="BK50" s="156">
        <f t="shared" si="44"/>
        <v>0</v>
      </c>
      <c r="BL50" s="156">
        <f t="shared" si="44"/>
        <v>0</v>
      </c>
      <c r="BM50" s="156">
        <f t="shared" si="44"/>
        <v>0</v>
      </c>
      <c r="BN50" s="156">
        <f t="shared" si="44"/>
        <v>0</v>
      </c>
      <c r="BO50" s="156">
        <f aca="true" t="shared" si="45" ref="BO50:CY50">IF(BO16&gt;$B$2,0,$B$9*$B$2*BO16^2*($B$2^2+BO16^2-(2*$B$2*BO16))*10000000/(24*$B$7*$B$12*$B$2))</f>
        <v>0</v>
      </c>
      <c r="BP50" s="156">
        <f t="shared" si="45"/>
        <v>0</v>
      </c>
      <c r="BQ50" s="156">
        <f t="shared" si="45"/>
        <v>0</v>
      </c>
      <c r="BR50" s="156">
        <f t="shared" si="45"/>
        <v>0</v>
      </c>
      <c r="BS50" s="156">
        <f t="shared" si="45"/>
        <v>0</v>
      </c>
      <c r="BT50" s="156">
        <f t="shared" si="45"/>
        <v>0</v>
      </c>
      <c r="BU50" s="156">
        <f t="shared" si="45"/>
        <v>0</v>
      </c>
      <c r="BV50" s="156">
        <f t="shared" si="45"/>
        <v>0</v>
      </c>
      <c r="BW50" s="156">
        <f t="shared" si="45"/>
        <v>0</v>
      </c>
      <c r="BX50" s="156">
        <f t="shared" si="45"/>
        <v>0</v>
      </c>
      <c r="BY50" s="156">
        <f t="shared" si="45"/>
        <v>0</v>
      </c>
      <c r="BZ50" s="156">
        <f t="shared" si="45"/>
        <v>0</v>
      </c>
      <c r="CA50" s="156">
        <f t="shared" si="45"/>
        <v>0</v>
      </c>
      <c r="CB50" s="156">
        <f t="shared" si="45"/>
        <v>0</v>
      </c>
      <c r="CC50" s="156">
        <f t="shared" si="45"/>
        <v>0</v>
      </c>
      <c r="CD50" s="156">
        <f t="shared" si="45"/>
        <v>0</v>
      </c>
      <c r="CE50" s="156">
        <f t="shared" si="45"/>
        <v>0</v>
      </c>
      <c r="CF50" s="156">
        <f t="shared" si="45"/>
        <v>0</v>
      </c>
      <c r="CG50" s="156">
        <f t="shared" si="45"/>
        <v>0</v>
      </c>
      <c r="CH50" s="156">
        <f t="shared" si="45"/>
        <v>0</v>
      </c>
      <c r="CI50" s="156">
        <f t="shared" si="45"/>
        <v>0</v>
      </c>
      <c r="CJ50" s="156">
        <f t="shared" si="45"/>
        <v>0</v>
      </c>
      <c r="CK50" s="156">
        <f t="shared" si="45"/>
        <v>0</v>
      </c>
      <c r="CL50" s="156">
        <f t="shared" si="45"/>
        <v>0</v>
      </c>
      <c r="CM50" s="156">
        <f t="shared" si="45"/>
        <v>0</v>
      </c>
      <c r="CN50" s="156">
        <f t="shared" si="45"/>
        <v>0</v>
      </c>
      <c r="CO50" s="156">
        <f t="shared" si="45"/>
        <v>0</v>
      </c>
      <c r="CP50" s="156">
        <f t="shared" si="45"/>
        <v>0</v>
      </c>
      <c r="CQ50" s="156">
        <f t="shared" si="45"/>
        <v>0</v>
      </c>
      <c r="CR50" s="156">
        <f t="shared" si="45"/>
        <v>0</v>
      </c>
      <c r="CS50" s="156">
        <f t="shared" si="45"/>
        <v>0</v>
      </c>
      <c r="CT50" s="156">
        <f t="shared" si="45"/>
        <v>0</v>
      </c>
      <c r="CU50" s="156">
        <f t="shared" si="45"/>
        <v>0</v>
      </c>
      <c r="CV50" s="156">
        <f t="shared" si="45"/>
        <v>0</v>
      </c>
      <c r="CW50" s="156">
        <f t="shared" si="45"/>
        <v>0</v>
      </c>
      <c r="CX50" s="156">
        <f t="shared" si="45"/>
        <v>0</v>
      </c>
      <c r="CY50" s="156">
        <f t="shared" si="45"/>
        <v>0.9534214459995705</v>
      </c>
      <c r="DA50" s="156">
        <f>MAX(B50:CY50)</f>
        <v>0.9722695195195192</v>
      </c>
      <c r="DB50" s="156">
        <f>MIN(B50:CY50)</f>
        <v>0</v>
      </c>
      <c r="DC50" s="156">
        <f>ABS(DB50)</f>
        <v>0</v>
      </c>
      <c r="DE50" s="156">
        <f>MAX(DA50,DC50)</f>
        <v>0.9722695195195192</v>
      </c>
    </row>
    <row r="51" spans="1:109" ht="11.25">
      <c r="A51" s="156" t="s">
        <v>341</v>
      </c>
      <c r="B51" s="156">
        <f>IF(B16&gt;$B$2,0,IF(B16&lt;=$B$5,(($F$5*B16^2/2)-($F$3*B16^3/6))/($B$7*$B$12)*10000000,(($F$4*(($B$2*B16^2/2)-(B16^3/6)))-($F$6*B16^2/2)-($F$7*B16)-$F$8)/($B$7*$B$12)*-10000000))</f>
        <v>0</v>
      </c>
      <c r="C51" s="156">
        <f aca="true" t="shared" si="46" ref="C51:BN51">IF(C16&gt;$B$2,0,IF(C16&lt;=$B$5,(($F$5*C16^2/2)-($F$3*C16^3/6))/($B$7*$B$12)*10000000,(($F$4*(($B$2*C16^2/2)-(C16^3/6)))-($F$6*C16^2/2)-($F$7*C16)-$F$8)/($B$7*$B$12)*-10000000))</f>
        <v>0</v>
      </c>
      <c r="D51" s="156">
        <f t="shared" si="46"/>
        <v>0</v>
      </c>
      <c r="E51" s="156">
        <f t="shared" si="46"/>
        <v>0</v>
      </c>
      <c r="F51" s="156">
        <f t="shared" si="46"/>
        <v>0</v>
      </c>
      <c r="G51" s="156">
        <f t="shared" si="46"/>
        <v>0</v>
      </c>
      <c r="H51" s="156">
        <f t="shared" si="46"/>
        <v>0</v>
      </c>
      <c r="I51" s="156">
        <f t="shared" si="46"/>
        <v>0</v>
      </c>
      <c r="J51" s="156">
        <f t="shared" si="46"/>
        <v>0</v>
      </c>
      <c r="K51" s="156">
        <f t="shared" si="46"/>
        <v>0</v>
      </c>
      <c r="L51" s="156">
        <f t="shared" si="46"/>
        <v>0</v>
      </c>
      <c r="M51" s="156">
        <f t="shared" si="46"/>
        <v>0</v>
      </c>
      <c r="N51" s="156">
        <f t="shared" si="46"/>
        <v>0</v>
      </c>
      <c r="O51" s="156">
        <f t="shared" si="46"/>
        <v>0</v>
      </c>
      <c r="P51" s="156">
        <f t="shared" si="46"/>
        <v>0</v>
      </c>
      <c r="Q51" s="156">
        <f t="shared" si="46"/>
        <v>0</v>
      </c>
      <c r="R51" s="156">
        <f t="shared" si="46"/>
        <v>0</v>
      </c>
      <c r="S51" s="156">
        <f t="shared" si="46"/>
        <v>0</v>
      </c>
      <c r="T51" s="156">
        <f t="shared" si="46"/>
        <v>0</v>
      </c>
      <c r="U51" s="156">
        <f t="shared" si="46"/>
        <v>0</v>
      </c>
      <c r="V51" s="156">
        <f t="shared" si="46"/>
        <v>0</v>
      </c>
      <c r="W51" s="156">
        <f t="shared" si="46"/>
        <v>0</v>
      </c>
      <c r="X51" s="156">
        <f t="shared" si="46"/>
        <v>0</v>
      </c>
      <c r="Y51" s="156">
        <f t="shared" si="46"/>
        <v>0</v>
      </c>
      <c r="Z51" s="156">
        <f t="shared" si="46"/>
        <v>0</v>
      </c>
      <c r="AA51" s="156">
        <f t="shared" si="46"/>
        <v>0</v>
      </c>
      <c r="AB51" s="156">
        <f t="shared" si="46"/>
        <v>0</v>
      </c>
      <c r="AC51" s="156">
        <f t="shared" si="46"/>
        <v>0</v>
      </c>
      <c r="AD51" s="156">
        <f t="shared" si="46"/>
        <v>0</v>
      </c>
      <c r="AE51" s="156">
        <f t="shared" si="46"/>
        <v>0</v>
      </c>
      <c r="AF51" s="156">
        <f t="shared" si="46"/>
        <v>0</v>
      </c>
      <c r="AG51" s="156">
        <f t="shared" si="46"/>
        <v>0</v>
      </c>
      <c r="AH51" s="156">
        <f t="shared" si="46"/>
        <v>0</v>
      </c>
      <c r="AI51" s="156">
        <f t="shared" si="46"/>
        <v>0</v>
      </c>
      <c r="AJ51" s="156">
        <f t="shared" si="46"/>
        <v>0</v>
      </c>
      <c r="AK51" s="156">
        <f t="shared" si="46"/>
        <v>0</v>
      </c>
      <c r="AL51" s="156">
        <f t="shared" si="46"/>
        <v>0</v>
      </c>
      <c r="AM51" s="156">
        <f t="shared" si="46"/>
        <v>0</v>
      </c>
      <c r="AN51" s="156">
        <f t="shared" si="46"/>
        <v>0</v>
      </c>
      <c r="AO51" s="156">
        <f t="shared" si="46"/>
        <v>0</v>
      </c>
      <c r="AP51" s="156">
        <f t="shared" si="46"/>
        <v>0</v>
      </c>
      <c r="AQ51" s="156">
        <f t="shared" si="46"/>
        <v>0</v>
      </c>
      <c r="AR51" s="156">
        <f t="shared" si="46"/>
        <v>0</v>
      </c>
      <c r="AS51" s="156">
        <f t="shared" si="46"/>
        <v>0</v>
      </c>
      <c r="AT51" s="156">
        <f t="shared" si="46"/>
        <v>0</v>
      </c>
      <c r="AU51" s="156">
        <f t="shared" si="46"/>
        <v>0</v>
      </c>
      <c r="AV51" s="156">
        <f t="shared" si="46"/>
        <v>0</v>
      </c>
      <c r="AW51" s="156">
        <f t="shared" si="46"/>
        <v>0</v>
      </c>
      <c r="AX51" s="156">
        <f t="shared" si="46"/>
        <v>0</v>
      </c>
      <c r="AY51" s="156">
        <f t="shared" si="46"/>
        <v>0</v>
      </c>
      <c r="AZ51" s="156">
        <f t="shared" si="46"/>
        <v>0</v>
      </c>
      <c r="BA51" s="156">
        <f t="shared" si="46"/>
        <v>0</v>
      </c>
      <c r="BB51" s="156">
        <f t="shared" si="46"/>
        <v>0</v>
      </c>
      <c r="BC51" s="156">
        <f t="shared" si="46"/>
        <v>0</v>
      </c>
      <c r="BD51" s="156">
        <f t="shared" si="46"/>
        <v>0</v>
      </c>
      <c r="BE51" s="156">
        <f t="shared" si="46"/>
        <v>0</v>
      </c>
      <c r="BF51" s="156">
        <f t="shared" si="46"/>
        <v>0</v>
      </c>
      <c r="BG51" s="156">
        <f t="shared" si="46"/>
        <v>0</v>
      </c>
      <c r="BH51" s="156">
        <f t="shared" si="46"/>
        <v>0</v>
      </c>
      <c r="BI51" s="156">
        <f t="shared" si="46"/>
        <v>0</v>
      </c>
      <c r="BJ51" s="156">
        <f t="shared" si="46"/>
        <v>0</v>
      </c>
      <c r="BK51" s="156">
        <f t="shared" si="46"/>
        <v>0</v>
      </c>
      <c r="BL51" s="156">
        <f t="shared" si="46"/>
        <v>0</v>
      </c>
      <c r="BM51" s="156">
        <f t="shared" si="46"/>
        <v>0</v>
      </c>
      <c r="BN51" s="156">
        <f t="shared" si="46"/>
        <v>0</v>
      </c>
      <c r="BO51" s="156">
        <f aca="true" t="shared" si="47" ref="BO51:CY51">IF(BO16&gt;$B$2,0,IF(BO16&lt;=$B$5,(($F$5*BO16^2/2)-($F$3*BO16^3/6))/($B$7*$B$12)*10000000,(($F$4*(($B$2*BO16^2/2)-(BO16^3/6)))-($F$6*BO16^2/2)-($F$7*BO16)-$F$8)/($B$7*$B$12)*-10000000))</f>
        <v>0</v>
      </c>
      <c r="BP51" s="156">
        <f t="shared" si="47"/>
        <v>0</v>
      </c>
      <c r="BQ51" s="156">
        <f t="shared" si="47"/>
        <v>0</v>
      </c>
      <c r="BR51" s="156">
        <f t="shared" si="47"/>
        <v>0</v>
      </c>
      <c r="BS51" s="156">
        <f t="shared" si="47"/>
        <v>0</v>
      </c>
      <c r="BT51" s="156">
        <f t="shared" si="47"/>
        <v>0</v>
      </c>
      <c r="BU51" s="156">
        <f t="shared" si="47"/>
        <v>0</v>
      </c>
      <c r="BV51" s="156">
        <f t="shared" si="47"/>
        <v>0</v>
      </c>
      <c r="BW51" s="156">
        <f t="shared" si="47"/>
        <v>0</v>
      </c>
      <c r="BX51" s="156">
        <f t="shared" si="47"/>
        <v>0</v>
      </c>
      <c r="BY51" s="156">
        <f t="shared" si="47"/>
        <v>0</v>
      </c>
      <c r="BZ51" s="156">
        <f t="shared" si="47"/>
        <v>0</v>
      </c>
      <c r="CA51" s="156">
        <f t="shared" si="47"/>
        <v>0</v>
      </c>
      <c r="CB51" s="156">
        <f t="shared" si="47"/>
        <v>0</v>
      </c>
      <c r="CC51" s="156">
        <f t="shared" si="47"/>
        <v>0</v>
      </c>
      <c r="CD51" s="156">
        <f t="shared" si="47"/>
        <v>0</v>
      </c>
      <c r="CE51" s="156">
        <f t="shared" si="47"/>
        <v>0</v>
      </c>
      <c r="CF51" s="156">
        <f t="shared" si="47"/>
        <v>0</v>
      </c>
      <c r="CG51" s="156">
        <f t="shared" si="47"/>
        <v>0</v>
      </c>
      <c r="CH51" s="156">
        <f t="shared" si="47"/>
        <v>0</v>
      </c>
      <c r="CI51" s="156">
        <f t="shared" si="47"/>
        <v>0</v>
      </c>
      <c r="CJ51" s="156">
        <f t="shared" si="47"/>
        <v>0</v>
      </c>
      <c r="CK51" s="156">
        <f t="shared" si="47"/>
        <v>0</v>
      </c>
      <c r="CL51" s="156">
        <f t="shared" si="47"/>
        <v>0</v>
      </c>
      <c r="CM51" s="156">
        <f t="shared" si="47"/>
        <v>0</v>
      </c>
      <c r="CN51" s="156">
        <f t="shared" si="47"/>
        <v>0</v>
      </c>
      <c r="CO51" s="156">
        <f t="shared" si="47"/>
        <v>0</v>
      </c>
      <c r="CP51" s="156">
        <f t="shared" si="47"/>
        <v>0</v>
      </c>
      <c r="CQ51" s="156">
        <f t="shared" si="47"/>
        <v>0</v>
      </c>
      <c r="CR51" s="156">
        <f t="shared" si="47"/>
        <v>0</v>
      </c>
      <c r="CS51" s="156">
        <f t="shared" si="47"/>
        <v>0</v>
      </c>
      <c r="CT51" s="156">
        <f t="shared" si="47"/>
        <v>0</v>
      </c>
      <c r="CU51" s="156">
        <f t="shared" si="47"/>
        <v>0</v>
      </c>
      <c r="CV51" s="156">
        <f t="shared" si="47"/>
        <v>0</v>
      </c>
      <c r="CW51" s="156">
        <f t="shared" si="47"/>
        <v>0</v>
      </c>
      <c r="CX51" s="156">
        <f t="shared" si="47"/>
        <v>0</v>
      </c>
      <c r="CY51" s="156">
        <f t="shared" si="47"/>
        <v>0</v>
      </c>
      <c r="DA51" s="156">
        <f>MAX(B51:CY51)</f>
        <v>0</v>
      </c>
      <c r="DB51" s="156">
        <f>MIN(B51:CY51)</f>
        <v>0</v>
      </c>
      <c r="DC51" s="156">
        <f>ABS(DB51)</f>
        <v>0</v>
      </c>
      <c r="DE51" s="156">
        <f>MAX(DA51,DC51)</f>
        <v>0</v>
      </c>
    </row>
    <row r="52" spans="1:109" ht="11.25">
      <c r="A52" s="156" t="s">
        <v>75</v>
      </c>
      <c r="B52" s="156">
        <f>B50+B51</f>
        <v>0</v>
      </c>
      <c r="C52" s="156">
        <f aca="true" t="shared" si="48" ref="C52:BN52">C50+C51</f>
        <v>0.00487077675890176</v>
      </c>
      <c r="D52" s="156">
        <f t="shared" si="48"/>
        <v>0.01877469004719005</v>
      </c>
      <c r="E52" s="156">
        <f t="shared" si="48"/>
        <v>0.04067863175675676</v>
      </c>
      <c r="F52" s="156">
        <f t="shared" si="48"/>
        <v>0.06958885027885028</v>
      </c>
      <c r="G52" s="156">
        <f t="shared" si="48"/>
        <v>0.10455095050407551</v>
      </c>
      <c r="H52" s="156">
        <f t="shared" si="48"/>
        <v>0.1446498938223938</v>
      </c>
      <c r="I52" s="156">
        <f t="shared" si="48"/>
        <v>0.18900999812312308</v>
      </c>
      <c r="J52" s="156">
        <f t="shared" si="48"/>
        <v>0.23679493779493777</v>
      </c>
      <c r="K52" s="156">
        <f t="shared" si="48"/>
        <v>0.28720774372586866</v>
      </c>
      <c r="L52" s="156">
        <f t="shared" si="48"/>
        <v>0.3394908033033032</v>
      </c>
      <c r="M52" s="156">
        <f t="shared" si="48"/>
        <v>0.39292586041398525</v>
      </c>
      <c r="N52" s="156">
        <f t="shared" si="48"/>
        <v>0.44683401544401535</v>
      </c>
      <c r="O52" s="156">
        <f t="shared" si="48"/>
        <v>0.5005757252788503</v>
      </c>
      <c r="P52" s="156">
        <f t="shared" si="48"/>
        <v>0.5535508033033033</v>
      </c>
      <c r="Q52" s="156">
        <f t="shared" si="48"/>
        <v>0.6051984194015446</v>
      </c>
      <c r="R52" s="156">
        <f t="shared" si="48"/>
        <v>0.6549970999571</v>
      </c>
      <c r="S52" s="156">
        <f t="shared" si="48"/>
        <v>0.702464727852853</v>
      </c>
      <c r="T52" s="156">
        <f t="shared" si="48"/>
        <v>0.7471585424710423</v>
      </c>
      <c r="U52" s="156">
        <f t="shared" si="48"/>
        <v>0.7886751396932649</v>
      </c>
      <c r="V52" s="156">
        <f t="shared" si="48"/>
        <v>0.8266504719004723</v>
      </c>
      <c r="W52" s="156">
        <f t="shared" si="48"/>
        <v>0.8607598479729728</v>
      </c>
      <c r="X52" s="156">
        <f t="shared" si="48"/>
        <v>0.8907179332904333</v>
      </c>
      <c r="Y52" s="156">
        <f t="shared" si="48"/>
        <v>0.9162787497318747</v>
      </c>
      <c r="Z52" s="156">
        <f t="shared" si="48"/>
        <v>0.9372356756756756</v>
      </c>
      <c r="AA52" s="156">
        <f t="shared" si="48"/>
        <v>0.9534214459995709</v>
      </c>
      <c r="AB52" s="156">
        <f t="shared" si="48"/>
        <v>0.9647081520806517</v>
      </c>
      <c r="AC52" s="156">
        <f t="shared" si="48"/>
        <v>0.9710072417953667</v>
      </c>
      <c r="AD52" s="156">
        <f t="shared" si="48"/>
        <v>0.9722695195195192</v>
      </c>
      <c r="AE52" s="156">
        <f t="shared" si="48"/>
        <v>0.9684851461282711</v>
      </c>
      <c r="AF52" s="156">
        <f t="shared" si="48"/>
        <v>0.9596836389961394</v>
      </c>
      <c r="AG52" s="156">
        <f t="shared" si="48"/>
        <v>0.9459338719969963</v>
      </c>
      <c r="AH52" s="156">
        <f t="shared" si="48"/>
        <v>0.9273440755040742</v>
      </c>
      <c r="AI52" s="156">
        <f t="shared" si="48"/>
        <v>0.904061836389961</v>
      </c>
      <c r="AJ52" s="156">
        <f t="shared" si="48"/>
        <v>0.8762740980265978</v>
      </c>
      <c r="AK52" s="156">
        <f t="shared" si="48"/>
        <v>0.8442071602852849</v>
      </c>
      <c r="AL52" s="156">
        <f t="shared" si="48"/>
        <v>0.8081266795366777</v>
      </c>
      <c r="AM52" s="156">
        <f t="shared" si="48"/>
        <v>0.7683376686507927</v>
      </c>
      <c r="AN52" s="156">
        <f t="shared" si="48"/>
        <v>0.7251844969969959</v>
      </c>
      <c r="AO52" s="156">
        <f t="shared" si="48"/>
        <v>0.6790508904440153</v>
      </c>
      <c r="AP52" s="156">
        <f t="shared" si="48"/>
        <v>0.630359931359929</v>
      </c>
      <c r="AQ52" s="156">
        <f t="shared" si="48"/>
        <v>0.5795740586121838</v>
      </c>
      <c r="AR52" s="156">
        <f t="shared" si="48"/>
        <v>0.5271950675675672</v>
      </c>
      <c r="AS52" s="156">
        <f t="shared" si="48"/>
        <v>0.4737641100922352</v>
      </c>
      <c r="AT52" s="156">
        <f t="shared" si="48"/>
        <v>0.419861694551694</v>
      </c>
      <c r="AU52" s="156">
        <f t="shared" si="48"/>
        <v>0.3661076858108105</v>
      </c>
      <c r="AV52" s="156">
        <f t="shared" si="48"/>
        <v>0.31316130523380387</v>
      </c>
      <c r="AW52" s="156">
        <f t="shared" si="48"/>
        <v>0.26172113068425695</v>
      </c>
      <c r="AX52" s="156">
        <f t="shared" si="48"/>
        <v>0.2125250965250964</v>
      </c>
      <c r="AY52" s="156">
        <f t="shared" si="48"/>
        <v>0.16635049361862111</v>
      </c>
      <c r="AZ52" s="156">
        <f t="shared" si="48"/>
        <v>0.12401396932647005</v>
      </c>
      <c r="BA52" s="156">
        <f t="shared" si="48"/>
        <v>0.08637152750965267</v>
      </c>
      <c r="BB52" s="156">
        <f t="shared" si="48"/>
        <v>0.054318528528529475</v>
      </c>
      <c r="BC52" s="156">
        <f t="shared" si="48"/>
        <v>0.02878968924281421</v>
      </c>
      <c r="BD52" s="156">
        <f t="shared" si="48"/>
        <v>0.010759083011583405</v>
      </c>
      <c r="BE52" s="156">
        <f t="shared" si="48"/>
        <v>0.0012401396932635637</v>
      </c>
      <c r="BF52" s="156">
        <f t="shared" si="48"/>
        <v>0</v>
      </c>
      <c r="BG52" s="156">
        <f t="shared" si="48"/>
        <v>0</v>
      </c>
      <c r="BH52" s="156">
        <f t="shared" si="48"/>
        <v>0</v>
      </c>
      <c r="BI52" s="156">
        <f t="shared" si="48"/>
        <v>0</v>
      </c>
      <c r="BJ52" s="156">
        <f t="shared" si="48"/>
        <v>0</v>
      </c>
      <c r="BK52" s="156">
        <f t="shared" si="48"/>
        <v>0</v>
      </c>
      <c r="BL52" s="156">
        <f t="shared" si="48"/>
        <v>0</v>
      </c>
      <c r="BM52" s="156">
        <f t="shared" si="48"/>
        <v>0</v>
      </c>
      <c r="BN52" s="156">
        <f t="shared" si="48"/>
        <v>0</v>
      </c>
      <c r="BO52" s="156">
        <f aca="true" t="shared" si="49" ref="BO52:CY52">BO50+BO51</f>
        <v>0</v>
      </c>
      <c r="BP52" s="156">
        <f t="shared" si="49"/>
        <v>0</v>
      </c>
      <c r="BQ52" s="156">
        <f t="shared" si="49"/>
        <v>0</v>
      </c>
      <c r="BR52" s="156">
        <f t="shared" si="49"/>
        <v>0</v>
      </c>
      <c r="BS52" s="156">
        <f t="shared" si="49"/>
        <v>0</v>
      </c>
      <c r="BT52" s="156">
        <f t="shared" si="49"/>
        <v>0</v>
      </c>
      <c r="BU52" s="156">
        <f t="shared" si="49"/>
        <v>0</v>
      </c>
      <c r="BV52" s="156">
        <f t="shared" si="49"/>
        <v>0</v>
      </c>
      <c r="BW52" s="156">
        <f t="shared" si="49"/>
        <v>0</v>
      </c>
      <c r="BX52" s="156">
        <f t="shared" si="49"/>
        <v>0</v>
      </c>
      <c r="BY52" s="156">
        <f t="shared" si="49"/>
        <v>0</v>
      </c>
      <c r="BZ52" s="156">
        <f t="shared" si="49"/>
        <v>0</v>
      </c>
      <c r="CA52" s="156">
        <f t="shared" si="49"/>
        <v>0</v>
      </c>
      <c r="CB52" s="156">
        <f t="shared" si="49"/>
        <v>0</v>
      </c>
      <c r="CC52" s="156">
        <f t="shared" si="49"/>
        <v>0</v>
      </c>
      <c r="CD52" s="156">
        <f t="shared" si="49"/>
        <v>0</v>
      </c>
      <c r="CE52" s="156">
        <f t="shared" si="49"/>
        <v>0</v>
      </c>
      <c r="CF52" s="156">
        <f t="shared" si="49"/>
        <v>0</v>
      </c>
      <c r="CG52" s="156">
        <f t="shared" si="49"/>
        <v>0</v>
      </c>
      <c r="CH52" s="156">
        <f t="shared" si="49"/>
        <v>0</v>
      </c>
      <c r="CI52" s="156">
        <f t="shared" si="49"/>
        <v>0</v>
      </c>
      <c r="CJ52" s="156">
        <f t="shared" si="49"/>
        <v>0</v>
      </c>
      <c r="CK52" s="156">
        <f t="shared" si="49"/>
        <v>0</v>
      </c>
      <c r="CL52" s="156">
        <f t="shared" si="49"/>
        <v>0</v>
      </c>
      <c r="CM52" s="156">
        <f t="shared" si="49"/>
        <v>0</v>
      </c>
      <c r="CN52" s="156">
        <f t="shared" si="49"/>
        <v>0</v>
      </c>
      <c r="CO52" s="156">
        <f t="shared" si="49"/>
        <v>0</v>
      </c>
      <c r="CP52" s="156">
        <f t="shared" si="49"/>
        <v>0</v>
      </c>
      <c r="CQ52" s="156">
        <f t="shared" si="49"/>
        <v>0</v>
      </c>
      <c r="CR52" s="156">
        <f t="shared" si="49"/>
        <v>0</v>
      </c>
      <c r="CS52" s="156">
        <f t="shared" si="49"/>
        <v>0</v>
      </c>
      <c r="CT52" s="156">
        <f t="shared" si="49"/>
        <v>0</v>
      </c>
      <c r="CU52" s="156">
        <f t="shared" si="49"/>
        <v>0</v>
      </c>
      <c r="CV52" s="156">
        <f t="shared" si="49"/>
        <v>0</v>
      </c>
      <c r="CW52" s="156">
        <f t="shared" si="49"/>
        <v>0</v>
      </c>
      <c r="CX52" s="156">
        <f t="shared" si="49"/>
        <v>0</v>
      </c>
      <c r="CY52" s="156">
        <f t="shared" si="49"/>
        <v>0.9534214459995705</v>
      </c>
      <c r="DA52" s="156">
        <f>MAX(B52:CY52)</f>
        <v>0.9722695195195192</v>
      </c>
      <c r="DB52" s="156">
        <f>MIN(B52:CY52)</f>
        <v>0</v>
      </c>
      <c r="DC52" s="156">
        <f>ABS(DB52)</f>
        <v>0</v>
      </c>
      <c r="DE52" s="156">
        <f>MAX(DA52,DC52)</f>
        <v>0.9722695195195192</v>
      </c>
    </row>
    <row r="54" spans="1:105" ht="11.25">
      <c r="A54" s="157" t="s">
        <v>142</v>
      </c>
      <c r="DA54" s="157" t="s">
        <v>142</v>
      </c>
    </row>
    <row r="56" spans="1:109" ht="11.25">
      <c r="A56" s="156" t="s">
        <v>317</v>
      </c>
      <c r="B56" s="156">
        <f>IF(B16&gt;$B$2,0,$B$3*$B$2*B16*((3*$B$2)-(4*B16))/(8*$B$2))</f>
        <v>0</v>
      </c>
      <c r="C56" s="156">
        <f aca="true" t="shared" si="50" ref="C56:BN56">IF(C16&gt;$B$2,0,$B$3*$B$2*C16*((3*$B$2)-(4*C16))/(8*$B$2))</f>
        <v>1.9482480468750003</v>
      </c>
      <c r="D56" s="156">
        <f t="shared" si="50"/>
        <v>3.80058234375</v>
      </c>
      <c r="E56" s="156">
        <f t="shared" si="50"/>
        <v>5.557002890625001</v>
      </c>
      <c r="F56" s="156">
        <f t="shared" si="50"/>
        <v>7.217509687500001</v>
      </c>
      <c r="G56" s="156">
        <f t="shared" si="50"/>
        <v>8.782102734375</v>
      </c>
      <c r="H56" s="156">
        <f t="shared" si="50"/>
        <v>10.250782031249999</v>
      </c>
      <c r="I56" s="156">
        <f t="shared" si="50"/>
        <v>11.623547578124999</v>
      </c>
      <c r="J56" s="156">
        <f t="shared" si="50"/>
        <v>12.900399375</v>
      </c>
      <c r="K56" s="156">
        <f t="shared" si="50"/>
        <v>14.081337421874998</v>
      </c>
      <c r="L56" s="156">
        <f t="shared" si="50"/>
        <v>15.166361718749997</v>
      </c>
      <c r="M56" s="156">
        <f t="shared" si="50"/>
        <v>16.155472265625</v>
      </c>
      <c r="N56" s="156">
        <f t="shared" si="50"/>
        <v>17.048669062499997</v>
      </c>
      <c r="O56" s="156">
        <f t="shared" si="50"/>
        <v>17.845952109375002</v>
      </c>
      <c r="P56" s="156">
        <f t="shared" si="50"/>
        <v>18.547321406249996</v>
      </c>
      <c r="Q56" s="156">
        <f t="shared" si="50"/>
        <v>19.152776953125</v>
      </c>
      <c r="R56" s="156">
        <f t="shared" si="50"/>
        <v>19.662318749999997</v>
      </c>
      <c r="S56" s="156">
        <f t="shared" si="50"/>
        <v>20.075946796875</v>
      </c>
      <c r="T56" s="156">
        <f t="shared" si="50"/>
        <v>20.393661093749998</v>
      </c>
      <c r="U56" s="156">
        <f t="shared" si="50"/>
        <v>20.615461640625004</v>
      </c>
      <c r="V56" s="156">
        <f t="shared" si="50"/>
        <v>20.741348437499997</v>
      </c>
      <c r="W56" s="156">
        <f t="shared" si="50"/>
        <v>20.771321484374997</v>
      </c>
      <c r="X56" s="156">
        <f t="shared" si="50"/>
        <v>20.705380781249996</v>
      </c>
      <c r="Y56" s="156">
        <f t="shared" si="50"/>
        <v>20.543526328124997</v>
      </c>
      <c r="Z56" s="156">
        <f t="shared" si="50"/>
        <v>20.285758124999994</v>
      </c>
      <c r="AA56" s="156">
        <f t="shared" si="50"/>
        <v>19.932076171874993</v>
      </c>
      <c r="AB56" s="156">
        <f t="shared" si="50"/>
        <v>19.48248046874999</v>
      </c>
      <c r="AC56" s="156">
        <f t="shared" si="50"/>
        <v>18.93697101562499</v>
      </c>
      <c r="AD56" s="156">
        <f t="shared" si="50"/>
        <v>18.29554781249999</v>
      </c>
      <c r="AE56" s="156">
        <f t="shared" si="50"/>
        <v>17.558210859374984</v>
      </c>
      <c r="AF56" s="156">
        <f t="shared" si="50"/>
        <v>16.724960156249985</v>
      </c>
      <c r="AG56" s="156">
        <f t="shared" si="50"/>
        <v>15.795795703124982</v>
      </c>
      <c r="AH56" s="156">
        <f t="shared" si="50"/>
        <v>14.770717499999979</v>
      </c>
      <c r="AI56" s="156">
        <f t="shared" si="50"/>
        <v>13.649725546874977</v>
      </c>
      <c r="AJ56" s="156">
        <f t="shared" si="50"/>
        <v>12.432819843749973</v>
      </c>
      <c r="AK56" s="156">
        <f t="shared" si="50"/>
        <v>11.12000039062497</v>
      </c>
      <c r="AL56" s="156">
        <f t="shared" si="50"/>
        <v>9.711267187499967</v>
      </c>
      <c r="AM56" s="156">
        <f t="shared" si="50"/>
        <v>8.206620234374963</v>
      </c>
      <c r="AN56" s="156">
        <f t="shared" si="50"/>
        <v>6.60605953124996</v>
      </c>
      <c r="AO56" s="156">
        <f t="shared" si="50"/>
        <v>4.909585078124956</v>
      </c>
      <c r="AP56" s="156">
        <f t="shared" si="50"/>
        <v>3.117196874999961</v>
      </c>
      <c r="AQ56" s="156">
        <f t="shared" si="50"/>
        <v>1.2288949218749656</v>
      </c>
      <c r="AR56" s="156">
        <f t="shared" si="50"/>
        <v>-0.7553207812500288</v>
      </c>
      <c r="AS56" s="156">
        <f t="shared" si="50"/>
        <v>-2.8354502343750227</v>
      </c>
      <c r="AT56" s="156">
        <f t="shared" si="50"/>
        <v>-5.0114934375000155</v>
      </c>
      <c r="AU56" s="156">
        <f t="shared" si="50"/>
        <v>-7.283450390625008</v>
      </c>
      <c r="AV56" s="156">
        <f t="shared" si="50"/>
        <v>-9.65132109375</v>
      </c>
      <c r="AW56" s="156">
        <f t="shared" si="50"/>
        <v>-12.115105546874991</v>
      </c>
      <c r="AX56" s="156">
        <f t="shared" si="50"/>
        <v>-14.674803749999981</v>
      </c>
      <c r="AY56" s="156">
        <f t="shared" si="50"/>
        <v>-17.33041570312497</v>
      </c>
      <c r="AZ56" s="156">
        <f t="shared" si="50"/>
        <v>-20.08194140624996</v>
      </c>
      <c r="BA56" s="156">
        <f t="shared" si="50"/>
        <v>-22.929380859374948</v>
      </c>
      <c r="BB56" s="156">
        <f t="shared" si="50"/>
        <v>-25.872734062499937</v>
      </c>
      <c r="BC56" s="156">
        <f t="shared" si="50"/>
        <v>-28.912001015624927</v>
      </c>
      <c r="BD56" s="156">
        <f t="shared" si="50"/>
        <v>-32.04718171874991</v>
      </c>
      <c r="BE56" s="156">
        <f t="shared" si="50"/>
        <v>-35.27827617187489</v>
      </c>
      <c r="BF56" s="156">
        <f t="shared" si="50"/>
        <v>0</v>
      </c>
      <c r="BG56" s="156">
        <f t="shared" si="50"/>
        <v>0</v>
      </c>
      <c r="BH56" s="156">
        <f t="shared" si="50"/>
        <v>0</v>
      </c>
      <c r="BI56" s="156">
        <f t="shared" si="50"/>
        <v>0</v>
      </c>
      <c r="BJ56" s="156">
        <f t="shared" si="50"/>
        <v>0</v>
      </c>
      <c r="BK56" s="156">
        <f t="shared" si="50"/>
        <v>0</v>
      </c>
      <c r="BL56" s="156">
        <f t="shared" si="50"/>
        <v>0</v>
      </c>
      <c r="BM56" s="156">
        <f t="shared" si="50"/>
        <v>0</v>
      </c>
      <c r="BN56" s="156">
        <f t="shared" si="50"/>
        <v>0</v>
      </c>
      <c r="BO56" s="156">
        <f aca="true" t="shared" si="51" ref="BO56:CY56">IF(BO16&gt;$B$2,0,$B$3*$B$2*BO16*((3*$B$2)-(4*BO16))/(8*$B$2))</f>
        <v>0</v>
      </c>
      <c r="BP56" s="156">
        <f t="shared" si="51"/>
        <v>0</v>
      </c>
      <c r="BQ56" s="156">
        <f t="shared" si="51"/>
        <v>0</v>
      </c>
      <c r="BR56" s="156">
        <f t="shared" si="51"/>
        <v>0</v>
      </c>
      <c r="BS56" s="156">
        <f t="shared" si="51"/>
        <v>0</v>
      </c>
      <c r="BT56" s="156">
        <f t="shared" si="51"/>
        <v>0</v>
      </c>
      <c r="BU56" s="156">
        <f t="shared" si="51"/>
        <v>0</v>
      </c>
      <c r="BV56" s="156">
        <f t="shared" si="51"/>
        <v>0</v>
      </c>
      <c r="BW56" s="156">
        <f t="shared" si="51"/>
        <v>0</v>
      </c>
      <c r="BX56" s="156">
        <f t="shared" si="51"/>
        <v>0</v>
      </c>
      <c r="BY56" s="156">
        <f t="shared" si="51"/>
        <v>0</v>
      </c>
      <c r="BZ56" s="156">
        <f t="shared" si="51"/>
        <v>0</v>
      </c>
      <c r="CA56" s="156">
        <f t="shared" si="51"/>
        <v>0</v>
      </c>
      <c r="CB56" s="156">
        <f t="shared" si="51"/>
        <v>0</v>
      </c>
      <c r="CC56" s="156">
        <f t="shared" si="51"/>
        <v>0</v>
      </c>
      <c r="CD56" s="156">
        <f t="shared" si="51"/>
        <v>0</v>
      </c>
      <c r="CE56" s="156">
        <f t="shared" si="51"/>
        <v>0</v>
      </c>
      <c r="CF56" s="156">
        <f t="shared" si="51"/>
        <v>0</v>
      </c>
      <c r="CG56" s="156">
        <f t="shared" si="51"/>
        <v>0</v>
      </c>
      <c r="CH56" s="156">
        <f t="shared" si="51"/>
        <v>0</v>
      </c>
      <c r="CI56" s="156">
        <f t="shared" si="51"/>
        <v>0</v>
      </c>
      <c r="CJ56" s="156">
        <f t="shared" si="51"/>
        <v>0</v>
      </c>
      <c r="CK56" s="156">
        <f t="shared" si="51"/>
        <v>0</v>
      </c>
      <c r="CL56" s="156">
        <f t="shared" si="51"/>
        <v>0</v>
      </c>
      <c r="CM56" s="156">
        <f t="shared" si="51"/>
        <v>0</v>
      </c>
      <c r="CN56" s="156">
        <f t="shared" si="51"/>
        <v>0</v>
      </c>
      <c r="CO56" s="156">
        <f t="shared" si="51"/>
        <v>0</v>
      </c>
      <c r="CP56" s="156">
        <f t="shared" si="51"/>
        <v>0</v>
      </c>
      <c r="CQ56" s="156">
        <f t="shared" si="51"/>
        <v>0</v>
      </c>
      <c r="CR56" s="156">
        <f t="shared" si="51"/>
        <v>0</v>
      </c>
      <c r="CS56" s="156">
        <f t="shared" si="51"/>
        <v>0</v>
      </c>
      <c r="CT56" s="156">
        <f t="shared" si="51"/>
        <v>0</v>
      </c>
      <c r="CU56" s="156">
        <f t="shared" si="51"/>
        <v>0</v>
      </c>
      <c r="CV56" s="156">
        <f t="shared" si="51"/>
        <v>0</v>
      </c>
      <c r="CW56" s="156">
        <f t="shared" si="51"/>
        <v>0</v>
      </c>
      <c r="CX56" s="156">
        <f t="shared" si="51"/>
        <v>0</v>
      </c>
      <c r="CY56" s="156">
        <f t="shared" si="51"/>
        <v>19.932076171874996</v>
      </c>
      <c r="DA56" s="156">
        <f>MAX(B56:CY56)</f>
        <v>20.771321484374997</v>
      </c>
      <c r="DB56" s="156">
        <f>MIN(B56:CY56)</f>
        <v>-35.27827617187489</v>
      </c>
      <c r="DC56" s="156">
        <f>ABS(DB56)</f>
        <v>35.27827617187489</v>
      </c>
      <c r="DE56" s="156">
        <f>MAX(DA56,DC56)</f>
        <v>35.27827617187489</v>
      </c>
    </row>
    <row r="57" spans="1:109" ht="11.25">
      <c r="A57" s="160" t="s">
        <v>318</v>
      </c>
      <c r="B57" s="156">
        <f>IF($B$5=0,0,IF(B16&gt;$B$2,0,IF(B16&lt;=$B$5,$I$3*B16,($I$3*B16)-($B$4*(B16-$B$5)))))</f>
        <v>0</v>
      </c>
      <c r="C57" s="156">
        <f aca="true" t="shared" si="52" ref="C57:BN57">IF($B$5=0,0,IF(C16&gt;$B$2,0,IF(C16&lt;=$B$5,$I$3*C16,($I$3*C16)-($B$4*(C16-$B$5)))))</f>
        <v>0</v>
      </c>
      <c r="D57" s="156">
        <f t="shared" si="52"/>
        <v>0</v>
      </c>
      <c r="E57" s="156">
        <f t="shared" si="52"/>
        <v>0</v>
      </c>
      <c r="F57" s="156">
        <f t="shared" si="52"/>
        <v>0</v>
      </c>
      <c r="G57" s="156">
        <f t="shared" si="52"/>
        <v>0</v>
      </c>
      <c r="H57" s="156">
        <f t="shared" si="52"/>
        <v>0</v>
      </c>
      <c r="I57" s="156">
        <f t="shared" si="52"/>
        <v>0</v>
      </c>
      <c r="J57" s="156">
        <f t="shared" si="52"/>
        <v>0</v>
      </c>
      <c r="K57" s="156">
        <f t="shared" si="52"/>
        <v>0</v>
      </c>
      <c r="L57" s="156">
        <f t="shared" si="52"/>
        <v>0</v>
      </c>
      <c r="M57" s="156">
        <f t="shared" si="52"/>
        <v>0</v>
      </c>
      <c r="N57" s="156">
        <f t="shared" si="52"/>
        <v>0</v>
      </c>
      <c r="O57" s="156">
        <f t="shared" si="52"/>
        <v>0</v>
      </c>
      <c r="P57" s="156">
        <f t="shared" si="52"/>
        <v>0</v>
      </c>
      <c r="Q57" s="156">
        <f t="shared" si="52"/>
        <v>0</v>
      </c>
      <c r="R57" s="156">
        <f t="shared" si="52"/>
        <v>0</v>
      </c>
      <c r="S57" s="156">
        <f t="shared" si="52"/>
        <v>0</v>
      </c>
      <c r="T57" s="156">
        <f t="shared" si="52"/>
        <v>0</v>
      </c>
      <c r="U57" s="156">
        <f t="shared" si="52"/>
        <v>0</v>
      </c>
      <c r="V57" s="156">
        <f t="shared" si="52"/>
        <v>0</v>
      </c>
      <c r="W57" s="156">
        <f t="shared" si="52"/>
        <v>0</v>
      </c>
      <c r="X57" s="156">
        <f t="shared" si="52"/>
        <v>0</v>
      </c>
      <c r="Y57" s="156">
        <f t="shared" si="52"/>
        <v>0</v>
      </c>
      <c r="Z57" s="156">
        <f t="shared" si="52"/>
        <v>0</v>
      </c>
      <c r="AA57" s="156">
        <f t="shared" si="52"/>
        <v>0</v>
      </c>
      <c r="AB57" s="156">
        <f t="shared" si="52"/>
        <v>0</v>
      </c>
      <c r="AC57" s="156">
        <f t="shared" si="52"/>
        <v>0</v>
      </c>
      <c r="AD57" s="156">
        <f t="shared" si="52"/>
        <v>0</v>
      </c>
      <c r="AE57" s="156">
        <f t="shared" si="52"/>
        <v>0</v>
      </c>
      <c r="AF57" s="156">
        <f t="shared" si="52"/>
        <v>0</v>
      </c>
      <c r="AG57" s="156">
        <f t="shared" si="52"/>
        <v>0</v>
      </c>
      <c r="AH57" s="156">
        <f t="shared" si="52"/>
        <v>0</v>
      </c>
      <c r="AI57" s="156">
        <f t="shared" si="52"/>
        <v>0</v>
      </c>
      <c r="AJ57" s="156">
        <f t="shared" si="52"/>
        <v>0</v>
      </c>
      <c r="AK57" s="156">
        <f t="shared" si="52"/>
        <v>0</v>
      </c>
      <c r="AL57" s="156">
        <f t="shared" si="52"/>
        <v>0</v>
      </c>
      <c r="AM57" s="156">
        <f t="shared" si="52"/>
        <v>0</v>
      </c>
      <c r="AN57" s="156">
        <f t="shared" si="52"/>
        <v>0</v>
      </c>
      <c r="AO57" s="156">
        <f t="shared" si="52"/>
        <v>0</v>
      </c>
      <c r="AP57" s="156">
        <f t="shared" si="52"/>
        <v>0</v>
      </c>
      <c r="AQ57" s="156">
        <f t="shared" si="52"/>
        <v>0</v>
      </c>
      <c r="AR57" s="156">
        <f t="shared" si="52"/>
        <v>0</v>
      </c>
      <c r="AS57" s="156">
        <f t="shared" si="52"/>
        <v>0</v>
      </c>
      <c r="AT57" s="156">
        <f t="shared" si="52"/>
        <v>0</v>
      </c>
      <c r="AU57" s="156">
        <f t="shared" si="52"/>
        <v>0</v>
      </c>
      <c r="AV57" s="156">
        <f t="shared" si="52"/>
        <v>0</v>
      </c>
      <c r="AW57" s="156">
        <f t="shared" si="52"/>
        <v>0</v>
      </c>
      <c r="AX57" s="156">
        <f t="shared" si="52"/>
        <v>0</v>
      </c>
      <c r="AY57" s="156">
        <f t="shared" si="52"/>
        <v>0</v>
      </c>
      <c r="AZ57" s="156">
        <f t="shared" si="52"/>
        <v>0</v>
      </c>
      <c r="BA57" s="156">
        <f t="shared" si="52"/>
        <v>0</v>
      </c>
      <c r="BB57" s="156">
        <f t="shared" si="52"/>
        <v>0</v>
      </c>
      <c r="BC57" s="156">
        <f t="shared" si="52"/>
        <v>0</v>
      </c>
      <c r="BD57" s="156">
        <f t="shared" si="52"/>
        <v>0</v>
      </c>
      <c r="BE57" s="156">
        <f t="shared" si="52"/>
        <v>0</v>
      </c>
      <c r="BF57" s="156">
        <f t="shared" si="52"/>
        <v>0</v>
      </c>
      <c r="BG57" s="156">
        <f t="shared" si="52"/>
        <v>0</v>
      </c>
      <c r="BH57" s="156">
        <f t="shared" si="52"/>
        <v>0</v>
      </c>
      <c r="BI57" s="156">
        <f t="shared" si="52"/>
        <v>0</v>
      </c>
      <c r="BJ57" s="156">
        <f t="shared" si="52"/>
        <v>0</v>
      </c>
      <c r="BK57" s="156">
        <f t="shared" si="52"/>
        <v>0</v>
      </c>
      <c r="BL57" s="156">
        <f t="shared" si="52"/>
        <v>0</v>
      </c>
      <c r="BM57" s="156">
        <f t="shared" si="52"/>
        <v>0</v>
      </c>
      <c r="BN57" s="156">
        <f t="shared" si="52"/>
        <v>0</v>
      </c>
      <c r="BO57" s="156">
        <f aca="true" t="shared" si="53" ref="BO57:CY57">IF($B$5=0,0,IF(BO16&gt;$B$2,0,IF(BO16&lt;=$B$5,$I$3*BO16,($I$3*BO16)-($B$4*(BO16-$B$5)))))</f>
        <v>0</v>
      </c>
      <c r="BP57" s="156">
        <f t="shared" si="53"/>
        <v>0</v>
      </c>
      <c r="BQ57" s="156">
        <f t="shared" si="53"/>
        <v>0</v>
      </c>
      <c r="BR57" s="156">
        <f t="shared" si="53"/>
        <v>0</v>
      </c>
      <c r="BS57" s="156">
        <f t="shared" si="53"/>
        <v>0</v>
      </c>
      <c r="BT57" s="156">
        <f t="shared" si="53"/>
        <v>0</v>
      </c>
      <c r="BU57" s="156">
        <f t="shared" si="53"/>
        <v>0</v>
      </c>
      <c r="BV57" s="156">
        <f t="shared" si="53"/>
        <v>0</v>
      </c>
      <c r="BW57" s="156">
        <f t="shared" si="53"/>
        <v>0</v>
      </c>
      <c r="BX57" s="156">
        <f t="shared" si="53"/>
        <v>0</v>
      </c>
      <c r="BY57" s="156">
        <f t="shared" si="53"/>
        <v>0</v>
      </c>
      <c r="BZ57" s="156">
        <f t="shared" si="53"/>
        <v>0</v>
      </c>
      <c r="CA57" s="156">
        <f t="shared" si="53"/>
        <v>0</v>
      </c>
      <c r="CB57" s="156">
        <f t="shared" si="53"/>
        <v>0</v>
      </c>
      <c r="CC57" s="156">
        <f t="shared" si="53"/>
        <v>0</v>
      </c>
      <c r="CD57" s="156">
        <f t="shared" si="53"/>
        <v>0</v>
      </c>
      <c r="CE57" s="156">
        <f t="shared" si="53"/>
        <v>0</v>
      </c>
      <c r="CF57" s="156">
        <f t="shared" si="53"/>
        <v>0</v>
      </c>
      <c r="CG57" s="156">
        <f t="shared" si="53"/>
        <v>0</v>
      </c>
      <c r="CH57" s="156">
        <f t="shared" si="53"/>
        <v>0</v>
      </c>
      <c r="CI57" s="156">
        <f t="shared" si="53"/>
        <v>0</v>
      </c>
      <c r="CJ57" s="156">
        <f t="shared" si="53"/>
        <v>0</v>
      </c>
      <c r="CK57" s="156">
        <f t="shared" si="53"/>
        <v>0</v>
      </c>
      <c r="CL57" s="156">
        <f t="shared" si="53"/>
        <v>0</v>
      </c>
      <c r="CM57" s="156">
        <f t="shared" si="53"/>
        <v>0</v>
      </c>
      <c r="CN57" s="156">
        <f t="shared" si="53"/>
        <v>0</v>
      </c>
      <c r="CO57" s="156">
        <f t="shared" si="53"/>
        <v>0</v>
      </c>
      <c r="CP57" s="156">
        <f t="shared" si="53"/>
        <v>0</v>
      </c>
      <c r="CQ57" s="156">
        <f t="shared" si="53"/>
        <v>0</v>
      </c>
      <c r="CR57" s="156">
        <f t="shared" si="53"/>
        <v>0</v>
      </c>
      <c r="CS57" s="156">
        <f t="shared" si="53"/>
        <v>0</v>
      </c>
      <c r="CT57" s="156">
        <f t="shared" si="53"/>
        <v>0</v>
      </c>
      <c r="CU57" s="156">
        <f t="shared" si="53"/>
        <v>0</v>
      </c>
      <c r="CV57" s="156">
        <f t="shared" si="53"/>
        <v>0</v>
      </c>
      <c r="CW57" s="156">
        <f t="shared" si="53"/>
        <v>0</v>
      </c>
      <c r="CX57" s="156">
        <f t="shared" si="53"/>
        <v>0</v>
      </c>
      <c r="CY57" s="156">
        <f t="shared" si="53"/>
        <v>0</v>
      </c>
      <c r="DA57" s="156">
        <f>MAX(B57:CY57)</f>
        <v>0</v>
      </c>
      <c r="DB57" s="156">
        <f>MIN(B57:CY57)</f>
        <v>0</v>
      </c>
      <c r="DC57" s="156">
        <f>ABS(DB57)</f>
        <v>0</v>
      </c>
      <c r="DE57" s="156">
        <f>MAX(DA57,DC57)</f>
        <v>0</v>
      </c>
    </row>
    <row r="58" spans="1:109" ht="11.25">
      <c r="A58" s="156" t="s">
        <v>75</v>
      </c>
      <c r="B58" s="156">
        <f>B56+B57</f>
        <v>0</v>
      </c>
      <c r="C58" s="156">
        <f aca="true" t="shared" si="54" ref="C58:BN58">C56+C57</f>
        <v>1.9482480468750003</v>
      </c>
      <c r="D58" s="156">
        <f t="shared" si="54"/>
        <v>3.80058234375</v>
      </c>
      <c r="E58" s="156">
        <f t="shared" si="54"/>
        <v>5.557002890625001</v>
      </c>
      <c r="F58" s="156">
        <f t="shared" si="54"/>
        <v>7.217509687500001</v>
      </c>
      <c r="G58" s="156">
        <f t="shared" si="54"/>
        <v>8.782102734375</v>
      </c>
      <c r="H58" s="156">
        <f t="shared" si="54"/>
        <v>10.250782031249999</v>
      </c>
      <c r="I58" s="156">
        <f t="shared" si="54"/>
        <v>11.623547578124999</v>
      </c>
      <c r="J58" s="156">
        <f t="shared" si="54"/>
        <v>12.900399375</v>
      </c>
      <c r="K58" s="156">
        <f t="shared" si="54"/>
        <v>14.081337421874998</v>
      </c>
      <c r="L58" s="156">
        <f t="shared" si="54"/>
        <v>15.166361718749997</v>
      </c>
      <c r="M58" s="156">
        <f t="shared" si="54"/>
        <v>16.155472265625</v>
      </c>
      <c r="N58" s="156">
        <f t="shared" si="54"/>
        <v>17.048669062499997</v>
      </c>
      <c r="O58" s="156">
        <f t="shared" si="54"/>
        <v>17.845952109375002</v>
      </c>
      <c r="P58" s="156">
        <f t="shared" si="54"/>
        <v>18.547321406249996</v>
      </c>
      <c r="Q58" s="156">
        <f t="shared" si="54"/>
        <v>19.152776953125</v>
      </c>
      <c r="R58" s="156">
        <f t="shared" si="54"/>
        <v>19.662318749999997</v>
      </c>
      <c r="S58" s="156">
        <f t="shared" si="54"/>
        <v>20.075946796875</v>
      </c>
      <c r="T58" s="156">
        <f t="shared" si="54"/>
        <v>20.393661093749998</v>
      </c>
      <c r="U58" s="156">
        <f t="shared" si="54"/>
        <v>20.615461640625004</v>
      </c>
      <c r="V58" s="156">
        <f t="shared" si="54"/>
        <v>20.741348437499997</v>
      </c>
      <c r="W58" s="156">
        <f t="shared" si="54"/>
        <v>20.771321484374997</v>
      </c>
      <c r="X58" s="156">
        <f t="shared" si="54"/>
        <v>20.705380781249996</v>
      </c>
      <c r="Y58" s="156">
        <f t="shared" si="54"/>
        <v>20.543526328124997</v>
      </c>
      <c r="Z58" s="156">
        <f t="shared" si="54"/>
        <v>20.285758124999994</v>
      </c>
      <c r="AA58" s="156">
        <f t="shared" si="54"/>
        <v>19.932076171874993</v>
      </c>
      <c r="AB58" s="156">
        <f t="shared" si="54"/>
        <v>19.48248046874999</v>
      </c>
      <c r="AC58" s="156">
        <f t="shared" si="54"/>
        <v>18.93697101562499</v>
      </c>
      <c r="AD58" s="156">
        <f t="shared" si="54"/>
        <v>18.29554781249999</v>
      </c>
      <c r="AE58" s="156">
        <f t="shared" si="54"/>
        <v>17.558210859374984</v>
      </c>
      <c r="AF58" s="156">
        <f t="shared" si="54"/>
        <v>16.724960156249985</v>
      </c>
      <c r="AG58" s="156">
        <f t="shared" si="54"/>
        <v>15.795795703124982</v>
      </c>
      <c r="AH58" s="156">
        <f t="shared" si="54"/>
        <v>14.770717499999979</v>
      </c>
      <c r="AI58" s="156">
        <f t="shared" si="54"/>
        <v>13.649725546874977</v>
      </c>
      <c r="AJ58" s="156">
        <f t="shared" si="54"/>
        <v>12.432819843749973</v>
      </c>
      <c r="AK58" s="156">
        <f t="shared" si="54"/>
        <v>11.12000039062497</v>
      </c>
      <c r="AL58" s="156">
        <f t="shared" si="54"/>
        <v>9.711267187499967</v>
      </c>
      <c r="AM58" s="156">
        <f t="shared" si="54"/>
        <v>8.206620234374963</v>
      </c>
      <c r="AN58" s="156">
        <f t="shared" si="54"/>
        <v>6.60605953124996</v>
      </c>
      <c r="AO58" s="156">
        <f t="shared" si="54"/>
        <v>4.909585078124956</v>
      </c>
      <c r="AP58" s="156">
        <f t="shared" si="54"/>
        <v>3.117196874999961</v>
      </c>
      <c r="AQ58" s="156">
        <f t="shared" si="54"/>
        <v>1.2288949218749656</v>
      </c>
      <c r="AR58" s="156">
        <f t="shared" si="54"/>
        <v>-0.7553207812500288</v>
      </c>
      <c r="AS58" s="156">
        <f t="shared" si="54"/>
        <v>-2.8354502343750227</v>
      </c>
      <c r="AT58" s="156">
        <f t="shared" si="54"/>
        <v>-5.0114934375000155</v>
      </c>
      <c r="AU58" s="156">
        <f t="shared" si="54"/>
        <v>-7.283450390625008</v>
      </c>
      <c r="AV58" s="156">
        <f t="shared" si="54"/>
        <v>-9.65132109375</v>
      </c>
      <c r="AW58" s="156">
        <f t="shared" si="54"/>
        <v>-12.115105546874991</v>
      </c>
      <c r="AX58" s="156">
        <f t="shared" si="54"/>
        <v>-14.674803749999981</v>
      </c>
      <c r="AY58" s="156">
        <f t="shared" si="54"/>
        <v>-17.33041570312497</v>
      </c>
      <c r="AZ58" s="156">
        <f t="shared" si="54"/>
        <v>-20.08194140624996</v>
      </c>
      <c r="BA58" s="156">
        <f t="shared" si="54"/>
        <v>-22.929380859374948</v>
      </c>
      <c r="BB58" s="156">
        <f t="shared" si="54"/>
        <v>-25.872734062499937</v>
      </c>
      <c r="BC58" s="156">
        <f t="shared" si="54"/>
        <v>-28.912001015624927</v>
      </c>
      <c r="BD58" s="156">
        <f t="shared" si="54"/>
        <v>-32.04718171874991</v>
      </c>
      <c r="BE58" s="156">
        <f t="shared" si="54"/>
        <v>-35.27827617187489</v>
      </c>
      <c r="BF58" s="156">
        <f t="shared" si="54"/>
        <v>0</v>
      </c>
      <c r="BG58" s="156">
        <f t="shared" si="54"/>
        <v>0</v>
      </c>
      <c r="BH58" s="156">
        <f t="shared" si="54"/>
        <v>0</v>
      </c>
      <c r="BI58" s="156">
        <f t="shared" si="54"/>
        <v>0</v>
      </c>
      <c r="BJ58" s="156">
        <f t="shared" si="54"/>
        <v>0</v>
      </c>
      <c r="BK58" s="156">
        <f t="shared" si="54"/>
        <v>0</v>
      </c>
      <c r="BL58" s="156">
        <f t="shared" si="54"/>
        <v>0</v>
      </c>
      <c r="BM58" s="156">
        <f t="shared" si="54"/>
        <v>0</v>
      </c>
      <c r="BN58" s="156">
        <f t="shared" si="54"/>
        <v>0</v>
      </c>
      <c r="BO58" s="156">
        <f aca="true" t="shared" si="55" ref="BO58:CY58">BO56+BO57</f>
        <v>0</v>
      </c>
      <c r="BP58" s="156">
        <f t="shared" si="55"/>
        <v>0</v>
      </c>
      <c r="BQ58" s="156">
        <f t="shared" si="55"/>
        <v>0</v>
      </c>
      <c r="BR58" s="156">
        <f t="shared" si="55"/>
        <v>0</v>
      </c>
      <c r="BS58" s="156">
        <f t="shared" si="55"/>
        <v>0</v>
      </c>
      <c r="BT58" s="156">
        <f t="shared" si="55"/>
        <v>0</v>
      </c>
      <c r="BU58" s="156">
        <f t="shared" si="55"/>
        <v>0</v>
      </c>
      <c r="BV58" s="156">
        <f t="shared" si="55"/>
        <v>0</v>
      </c>
      <c r="BW58" s="156">
        <f t="shared" si="55"/>
        <v>0</v>
      </c>
      <c r="BX58" s="156">
        <f t="shared" si="55"/>
        <v>0</v>
      </c>
      <c r="BY58" s="156">
        <f t="shared" si="55"/>
        <v>0</v>
      </c>
      <c r="BZ58" s="156">
        <f t="shared" si="55"/>
        <v>0</v>
      </c>
      <c r="CA58" s="156">
        <f t="shared" si="55"/>
        <v>0</v>
      </c>
      <c r="CB58" s="156">
        <f t="shared" si="55"/>
        <v>0</v>
      </c>
      <c r="CC58" s="156">
        <f t="shared" si="55"/>
        <v>0</v>
      </c>
      <c r="CD58" s="156">
        <f t="shared" si="55"/>
        <v>0</v>
      </c>
      <c r="CE58" s="156">
        <f t="shared" si="55"/>
        <v>0</v>
      </c>
      <c r="CF58" s="156">
        <f t="shared" si="55"/>
        <v>0</v>
      </c>
      <c r="CG58" s="156">
        <f t="shared" si="55"/>
        <v>0</v>
      </c>
      <c r="CH58" s="156">
        <f t="shared" si="55"/>
        <v>0</v>
      </c>
      <c r="CI58" s="156">
        <f t="shared" si="55"/>
        <v>0</v>
      </c>
      <c r="CJ58" s="156">
        <f t="shared" si="55"/>
        <v>0</v>
      </c>
      <c r="CK58" s="156">
        <f t="shared" si="55"/>
        <v>0</v>
      </c>
      <c r="CL58" s="156">
        <f t="shared" si="55"/>
        <v>0</v>
      </c>
      <c r="CM58" s="156">
        <f t="shared" si="55"/>
        <v>0</v>
      </c>
      <c r="CN58" s="156">
        <f t="shared" si="55"/>
        <v>0</v>
      </c>
      <c r="CO58" s="156">
        <f t="shared" si="55"/>
        <v>0</v>
      </c>
      <c r="CP58" s="156">
        <f t="shared" si="55"/>
        <v>0</v>
      </c>
      <c r="CQ58" s="156">
        <f t="shared" si="55"/>
        <v>0</v>
      </c>
      <c r="CR58" s="156">
        <f t="shared" si="55"/>
        <v>0</v>
      </c>
      <c r="CS58" s="156">
        <f t="shared" si="55"/>
        <v>0</v>
      </c>
      <c r="CT58" s="156">
        <f t="shared" si="55"/>
        <v>0</v>
      </c>
      <c r="CU58" s="156">
        <f t="shared" si="55"/>
        <v>0</v>
      </c>
      <c r="CV58" s="156">
        <f t="shared" si="55"/>
        <v>0</v>
      </c>
      <c r="CW58" s="156">
        <f t="shared" si="55"/>
        <v>0</v>
      </c>
      <c r="CX58" s="156">
        <f t="shared" si="55"/>
        <v>0</v>
      </c>
      <c r="CY58" s="156">
        <f t="shared" si="55"/>
        <v>19.932076171874996</v>
      </c>
      <c r="DA58" s="156">
        <f>MAX(B58:CY58)</f>
        <v>20.771321484374997</v>
      </c>
      <c r="DB58" s="156">
        <f>MIN(B58:CY58)</f>
        <v>-35.27827617187489</v>
      </c>
      <c r="DC58" s="156">
        <f>ABS(DB58)</f>
        <v>35.27827617187489</v>
      </c>
      <c r="DE58" s="156">
        <f>MAX(DA58,DC58)</f>
        <v>35.27827617187489</v>
      </c>
    </row>
    <row r="60" spans="1:109" ht="11.25">
      <c r="A60" s="156" t="s">
        <v>324</v>
      </c>
      <c r="B60" s="156">
        <f>IF(B16&gt;$B$2,0,$B$3*$B$2*((3*$B$2)-(8*B16))/(8*$B$2))</f>
        <v>19.96204921875</v>
      </c>
      <c r="C60" s="156">
        <f>IF(C16&gt;$B$2,0,$B$3*$B$2*((3*$B$2)-(8*C16))/(8*$B$2))</f>
        <v>19.00291171875</v>
      </c>
      <c r="D60" s="156">
        <f aca="true" t="shared" si="56" ref="D60:BO60">IF(D16&gt;$B$2,0,$B$3*$B$2*((3*$B$2)-(8*D16))/(8*$B$2))</f>
        <v>18.04377421875</v>
      </c>
      <c r="E60" s="156">
        <f t="shared" si="56"/>
        <v>17.08463671875</v>
      </c>
      <c r="F60" s="156">
        <f t="shared" si="56"/>
        <v>16.12549921875</v>
      </c>
      <c r="G60" s="156">
        <f t="shared" si="56"/>
        <v>15.166361718749998</v>
      </c>
      <c r="H60" s="156">
        <f t="shared" si="56"/>
        <v>14.207224218749998</v>
      </c>
      <c r="I60" s="156">
        <f t="shared" si="56"/>
        <v>13.24808671875</v>
      </c>
      <c r="J60" s="156">
        <f t="shared" si="56"/>
        <v>12.288949218750002</v>
      </c>
      <c r="K60" s="156">
        <f t="shared" si="56"/>
        <v>11.32981171875</v>
      </c>
      <c r="L60" s="156">
        <f t="shared" si="56"/>
        <v>10.370674218749999</v>
      </c>
      <c r="M60" s="156">
        <f t="shared" si="56"/>
        <v>9.41153671875</v>
      </c>
      <c r="N60" s="156">
        <f t="shared" si="56"/>
        <v>8.45239921875</v>
      </c>
      <c r="O60" s="156">
        <f t="shared" si="56"/>
        <v>7.493261718749998</v>
      </c>
      <c r="P60" s="156">
        <f t="shared" si="56"/>
        <v>6.534124218749998</v>
      </c>
      <c r="Q60" s="156">
        <f t="shared" si="56"/>
        <v>5.574986718749996</v>
      </c>
      <c r="R60" s="156">
        <f t="shared" si="56"/>
        <v>4.615849218749996</v>
      </c>
      <c r="S60" s="156">
        <f t="shared" si="56"/>
        <v>3.656711718749995</v>
      </c>
      <c r="T60" s="156">
        <f t="shared" si="56"/>
        <v>2.697574218749994</v>
      </c>
      <c r="U60" s="156">
        <f t="shared" si="56"/>
        <v>1.7384367187499927</v>
      </c>
      <c r="V60" s="156">
        <f t="shared" si="56"/>
        <v>0.7792992187499941</v>
      </c>
      <c r="W60" s="156">
        <f t="shared" si="56"/>
        <v>-0.17983828125000684</v>
      </c>
      <c r="X60" s="156">
        <f t="shared" si="56"/>
        <v>-1.1389757812500079</v>
      </c>
      <c r="Y60" s="156">
        <f t="shared" si="56"/>
        <v>-2.0981132812500087</v>
      </c>
      <c r="Z60" s="156">
        <f t="shared" si="56"/>
        <v>-3.0572507812500094</v>
      </c>
      <c r="AA60" s="156">
        <f t="shared" si="56"/>
        <v>-4.016388281250011</v>
      </c>
      <c r="AB60" s="156">
        <f t="shared" si="56"/>
        <v>-4.9755257812500115</v>
      </c>
      <c r="AC60" s="156">
        <f t="shared" si="56"/>
        <v>-5.934663281250012</v>
      </c>
      <c r="AD60" s="156">
        <f t="shared" si="56"/>
        <v>-6.893800781250014</v>
      </c>
      <c r="AE60" s="156">
        <f t="shared" si="56"/>
        <v>-7.852938281250014</v>
      </c>
      <c r="AF60" s="156">
        <f t="shared" si="56"/>
        <v>-8.812075781250014</v>
      </c>
      <c r="AG60" s="156">
        <f t="shared" si="56"/>
        <v>-9.771213281250017</v>
      </c>
      <c r="AH60" s="156">
        <f t="shared" si="56"/>
        <v>-10.730350781250017</v>
      </c>
      <c r="AI60" s="156">
        <f t="shared" si="56"/>
        <v>-11.689488281250018</v>
      </c>
      <c r="AJ60" s="156">
        <f t="shared" si="56"/>
        <v>-12.648625781250018</v>
      </c>
      <c r="AK60" s="156">
        <f t="shared" si="56"/>
        <v>-13.607763281250019</v>
      </c>
      <c r="AL60" s="156">
        <f t="shared" si="56"/>
        <v>-14.566900781250022</v>
      </c>
      <c r="AM60" s="156">
        <f t="shared" si="56"/>
        <v>-15.52603828125002</v>
      </c>
      <c r="AN60" s="156">
        <f t="shared" si="56"/>
        <v>-16.48517578125002</v>
      </c>
      <c r="AO60" s="156">
        <f t="shared" si="56"/>
        <v>-17.444313281250025</v>
      </c>
      <c r="AP60" s="156">
        <f t="shared" si="56"/>
        <v>-18.40345078125002</v>
      </c>
      <c r="AQ60" s="156">
        <f t="shared" si="56"/>
        <v>-19.362588281250016</v>
      </c>
      <c r="AR60" s="156">
        <f t="shared" si="56"/>
        <v>-20.321725781250013</v>
      </c>
      <c r="AS60" s="156">
        <f t="shared" si="56"/>
        <v>-21.28086328125001</v>
      </c>
      <c r="AT60" s="156">
        <f t="shared" si="56"/>
        <v>-22.240000781250007</v>
      </c>
      <c r="AU60" s="156">
        <f t="shared" si="56"/>
        <v>-23.19913828125</v>
      </c>
      <c r="AV60" s="156">
        <f t="shared" si="56"/>
        <v>-24.15827578125</v>
      </c>
      <c r="AW60" s="156">
        <f t="shared" si="56"/>
        <v>-25.117413281249995</v>
      </c>
      <c r="AX60" s="156">
        <f t="shared" si="56"/>
        <v>-26.076550781249992</v>
      </c>
      <c r="AY60" s="156">
        <f t="shared" si="56"/>
        <v>-27.03568828124999</v>
      </c>
      <c r="AZ60" s="156">
        <f t="shared" si="56"/>
        <v>-27.994825781249986</v>
      </c>
      <c r="BA60" s="156">
        <f t="shared" si="56"/>
        <v>-28.95396328124998</v>
      </c>
      <c r="BB60" s="156">
        <f t="shared" si="56"/>
        <v>-29.91310078124998</v>
      </c>
      <c r="BC60" s="156">
        <f t="shared" si="56"/>
        <v>-30.872238281249977</v>
      </c>
      <c r="BD60" s="156">
        <f t="shared" si="56"/>
        <v>-31.831375781249974</v>
      </c>
      <c r="BE60" s="156">
        <f t="shared" si="56"/>
        <v>-32.79051328124997</v>
      </c>
      <c r="BF60" s="156">
        <f t="shared" si="56"/>
        <v>0</v>
      </c>
      <c r="BG60" s="156">
        <f t="shared" si="56"/>
        <v>0</v>
      </c>
      <c r="BH60" s="156">
        <f t="shared" si="56"/>
        <v>0</v>
      </c>
      <c r="BI60" s="156">
        <f t="shared" si="56"/>
        <v>0</v>
      </c>
      <c r="BJ60" s="156">
        <f t="shared" si="56"/>
        <v>0</v>
      </c>
      <c r="BK60" s="156">
        <f t="shared" si="56"/>
        <v>0</v>
      </c>
      <c r="BL60" s="156">
        <f t="shared" si="56"/>
        <v>0</v>
      </c>
      <c r="BM60" s="156">
        <f t="shared" si="56"/>
        <v>0</v>
      </c>
      <c r="BN60" s="156">
        <f t="shared" si="56"/>
        <v>0</v>
      </c>
      <c r="BO60" s="156">
        <f t="shared" si="56"/>
        <v>0</v>
      </c>
      <c r="BP60" s="156">
        <f aca="true" t="shared" si="57" ref="BP60:CY60">IF(BP16&gt;$B$2,0,$B$3*$B$2*((3*$B$2)-(8*BP16))/(8*$B$2))</f>
        <v>0</v>
      </c>
      <c r="BQ60" s="156">
        <f t="shared" si="57"/>
        <v>0</v>
      </c>
      <c r="BR60" s="156">
        <f t="shared" si="57"/>
        <v>0</v>
      </c>
      <c r="BS60" s="156">
        <f t="shared" si="57"/>
        <v>0</v>
      </c>
      <c r="BT60" s="156">
        <f t="shared" si="57"/>
        <v>0</v>
      </c>
      <c r="BU60" s="156">
        <f t="shared" si="57"/>
        <v>0</v>
      </c>
      <c r="BV60" s="156">
        <f t="shared" si="57"/>
        <v>0</v>
      </c>
      <c r="BW60" s="156">
        <f t="shared" si="57"/>
        <v>0</v>
      </c>
      <c r="BX60" s="156">
        <f t="shared" si="57"/>
        <v>0</v>
      </c>
      <c r="BY60" s="156">
        <f t="shared" si="57"/>
        <v>0</v>
      </c>
      <c r="BZ60" s="156">
        <f t="shared" si="57"/>
        <v>0</v>
      </c>
      <c r="CA60" s="156">
        <f t="shared" si="57"/>
        <v>0</v>
      </c>
      <c r="CB60" s="156">
        <f t="shared" si="57"/>
        <v>0</v>
      </c>
      <c r="CC60" s="156">
        <f t="shared" si="57"/>
        <v>0</v>
      </c>
      <c r="CD60" s="156">
        <f t="shared" si="57"/>
        <v>0</v>
      </c>
      <c r="CE60" s="156">
        <f t="shared" si="57"/>
        <v>0</v>
      </c>
      <c r="CF60" s="156">
        <f t="shared" si="57"/>
        <v>0</v>
      </c>
      <c r="CG60" s="156">
        <f t="shared" si="57"/>
        <v>0</v>
      </c>
      <c r="CH60" s="156">
        <f t="shared" si="57"/>
        <v>0</v>
      </c>
      <c r="CI60" s="156">
        <f t="shared" si="57"/>
        <v>0</v>
      </c>
      <c r="CJ60" s="156">
        <f t="shared" si="57"/>
        <v>0</v>
      </c>
      <c r="CK60" s="156">
        <f t="shared" si="57"/>
        <v>0</v>
      </c>
      <c r="CL60" s="156">
        <f t="shared" si="57"/>
        <v>0</v>
      </c>
      <c r="CM60" s="156">
        <f t="shared" si="57"/>
        <v>0</v>
      </c>
      <c r="CN60" s="156">
        <f t="shared" si="57"/>
        <v>0</v>
      </c>
      <c r="CO60" s="156">
        <f t="shared" si="57"/>
        <v>0</v>
      </c>
      <c r="CP60" s="156">
        <f t="shared" si="57"/>
        <v>0</v>
      </c>
      <c r="CQ60" s="156">
        <f t="shared" si="57"/>
        <v>0</v>
      </c>
      <c r="CR60" s="156">
        <f t="shared" si="57"/>
        <v>0</v>
      </c>
      <c r="CS60" s="156">
        <f t="shared" si="57"/>
        <v>0</v>
      </c>
      <c r="CT60" s="156">
        <f t="shared" si="57"/>
        <v>0</v>
      </c>
      <c r="CU60" s="156">
        <f t="shared" si="57"/>
        <v>0</v>
      </c>
      <c r="CV60" s="156">
        <f t="shared" si="57"/>
        <v>0</v>
      </c>
      <c r="CW60" s="156">
        <f t="shared" si="57"/>
        <v>0</v>
      </c>
      <c r="CX60" s="156">
        <f t="shared" si="57"/>
        <v>0</v>
      </c>
      <c r="CY60" s="156">
        <f t="shared" si="57"/>
        <v>-4.016388281250002</v>
      </c>
      <c r="DA60" s="156">
        <f>MAX(B60:CY60)</f>
        <v>19.96204921875</v>
      </c>
      <c r="DB60" s="156">
        <f>MIN(B60:CY60)</f>
        <v>-32.79051328124997</v>
      </c>
      <c r="DC60" s="156">
        <f>ABS(DB60)</f>
        <v>32.79051328124997</v>
      </c>
      <c r="DE60" s="156">
        <f>MAX(DA60,DC60)</f>
        <v>32.79051328124997</v>
      </c>
    </row>
    <row r="61" spans="1:109" ht="11.25">
      <c r="A61" s="160" t="s">
        <v>325</v>
      </c>
      <c r="B61" s="156">
        <f>IF($B$5=0,0,IF(B16&gt;$B$2,0,IF(B16&lt;=$B$5,$I$3,-$I$4)))</f>
        <v>0</v>
      </c>
      <c r="C61" s="156">
        <f aca="true" t="shared" si="58" ref="C61:BN61">IF(C16&gt;$B$2,0,IF(C16&lt;=$B$5,$I$3,-$I$4))</f>
        <v>0</v>
      </c>
      <c r="D61" s="156">
        <f t="shared" si="58"/>
        <v>0</v>
      </c>
      <c r="E61" s="156">
        <f t="shared" si="58"/>
        <v>0</v>
      </c>
      <c r="F61" s="156">
        <f t="shared" si="58"/>
        <v>0</v>
      </c>
      <c r="G61" s="156">
        <f t="shared" si="58"/>
        <v>0</v>
      </c>
      <c r="H61" s="156">
        <f t="shared" si="58"/>
        <v>0</v>
      </c>
      <c r="I61" s="156">
        <f t="shared" si="58"/>
        <v>0</v>
      </c>
      <c r="J61" s="156">
        <f t="shared" si="58"/>
        <v>0</v>
      </c>
      <c r="K61" s="156">
        <f t="shared" si="58"/>
        <v>0</v>
      </c>
      <c r="L61" s="156">
        <f t="shared" si="58"/>
        <v>0</v>
      </c>
      <c r="M61" s="156">
        <f t="shared" si="58"/>
        <v>0</v>
      </c>
      <c r="N61" s="156">
        <f t="shared" si="58"/>
        <v>0</v>
      </c>
      <c r="O61" s="156">
        <f t="shared" si="58"/>
        <v>0</v>
      </c>
      <c r="P61" s="156">
        <f t="shared" si="58"/>
        <v>0</v>
      </c>
      <c r="Q61" s="156">
        <f t="shared" si="58"/>
        <v>0</v>
      </c>
      <c r="R61" s="156">
        <f t="shared" si="58"/>
        <v>0</v>
      </c>
      <c r="S61" s="156">
        <f t="shared" si="58"/>
        <v>0</v>
      </c>
      <c r="T61" s="156">
        <f t="shared" si="58"/>
        <v>0</v>
      </c>
      <c r="U61" s="156">
        <f t="shared" si="58"/>
        <v>0</v>
      </c>
      <c r="V61" s="156">
        <f t="shared" si="58"/>
        <v>0</v>
      </c>
      <c r="W61" s="156">
        <f t="shared" si="58"/>
        <v>0</v>
      </c>
      <c r="X61" s="156">
        <f t="shared" si="58"/>
        <v>0</v>
      </c>
      <c r="Y61" s="156">
        <f t="shared" si="58"/>
        <v>0</v>
      </c>
      <c r="Z61" s="156">
        <f t="shared" si="58"/>
        <v>0</v>
      </c>
      <c r="AA61" s="156">
        <f t="shared" si="58"/>
        <v>0</v>
      </c>
      <c r="AB61" s="156">
        <f t="shared" si="58"/>
        <v>0</v>
      </c>
      <c r="AC61" s="156">
        <f t="shared" si="58"/>
        <v>0</v>
      </c>
      <c r="AD61" s="156">
        <f t="shared" si="58"/>
        <v>0</v>
      </c>
      <c r="AE61" s="156">
        <f t="shared" si="58"/>
        <v>0</v>
      </c>
      <c r="AF61" s="156">
        <f t="shared" si="58"/>
        <v>0</v>
      </c>
      <c r="AG61" s="156">
        <f t="shared" si="58"/>
        <v>0</v>
      </c>
      <c r="AH61" s="156">
        <f t="shared" si="58"/>
        <v>0</v>
      </c>
      <c r="AI61" s="156">
        <f t="shared" si="58"/>
        <v>0</v>
      </c>
      <c r="AJ61" s="156">
        <f t="shared" si="58"/>
        <v>0</v>
      </c>
      <c r="AK61" s="156">
        <f t="shared" si="58"/>
        <v>0</v>
      </c>
      <c r="AL61" s="156">
        <f t="shared" si="58"/>
        <v>0</v>
      </c>
      <c r="AM61" s="156">
        <f t="shared" si="58"/>
        <v>0</v>
      </c>
      <c r="AN61" s="156">
        <f t="shared" si="58"/>
        <v>0</v>
      </c>
      <c r="AO61" s="156">
        <f t="shared" si="58"/>
        <v>0</v>
      </c>
      <c r="AP61" s="156">
        <f t="shared" si="58"/>
        <v>0</v>
      </c>
      <c r="AQ61" s="156">
        <f t="shared" si="58"/>
        <v>0</v>
      </c>
      <c r="AR61" s="156">
        <f t="shared" si="58"/>
        <v>0</v>
      </c>
      <c r="AS61" s="156">
        <f t="shared" si="58"/>
        <v>0</v>
      </c>
      <c r="AT61" s="156">
        <f t="shared" si="58"/>
        <v>0</v>
      </c>
      <c r="AU61" s="156">
        <f t="shared" si="58"/>
        <v>0</v>
      </c>
      <c r="AV61" s="156">
        <f t="shared" si="58"/>
        <v>0</v>
      </c>
      <c r="AW61" s="156">
        <f t="shared" si="58"/>
        <v>0</v>
      </c>
      <c r="AX61" s="156">
        <f t="shared" si="58"/>
        <v>0</v>
      </c>
      <c r="AY61" s="156">
        <f t="shared" si="58"/>
        <v>0</v>
      </c>
      <c r="AZ61" s="156">
        <f t="shared" si="58"/>
        <v>0</v>
      </c>
      <c r="BA61" s="156">
        <f t="shared" si="58"/>
        <v>0</v>
      </c>
      <c r="BB61" s="156">
        <f t="shared" si="58"/>
        <v>0</v>
      </c>
      <c r="BC61" s="156">
        <f t="shared" si="58"/>
        <v>0</v>
      </c>
      <c r="BD61" s="156">
        <f t="shared" si="58"/>
        <v>0</v>
      </c>
      <c r="BE61" s="156">
        <f t="shared" si="58"/>
        <v>0</v>
      </c>
      <c r="BF61" s="156">
        <f t="shared" si="58"/>
        <v>0</v>
      </c>
      <c r="BG61" s="156">
        <f t="shared" si="58"/>
        <v>0</v>
      </c>
      <c r="BH61" s="156">
        <f t="shared" si="58"/>
        <v>0</v>
      </c>
      <c r="BI61" s="156">
        <f t="shared" si="58"/>
        <v>0</v>
      </c>
      <c r="BJ61" s="156">
        <f t="shared" si="58"/>
        <v>0</v>
      </c>
      <c r="BK61" s="156">
        <f t="shared" si="58"/>
        <v>0</v>
      </c>
      <c r="BL61" s="156">
        <f t="shared" si="58"/>
        <v>0</v>
      </c>
      <c r="BM61" s="156">
        <f t="shared" si="58"/>
        <v>0</v>
      </c>
      <c r="BN61" s="156">
        <f t="shared" si="58"/>
        <v>0</v>
      </c>
      <c r="BO61" s="156">
        <f aca="true" t="shared" si="59" ref="BO61:CY61">IF(BO16&gt;$B$2,0,IF(BO16&lt;=$B$5,$I$3,-$I$4))</f>
        <v>0</v>
      </c>
      <c r="BP61" s="156">
        <f t="shared" si="59"/>
        <v>0</v>
      </c>
      <c r="BQ61" s="156">
        <f t="shared" si="59"/>
        <v>0</v>
      </c>
      <c r="BR61" s="156">
        <f t="shared" si="59"/>
        <v>0</v>
      </c>
      <c r="BS61" s="156">
        <f t="shared" si="59"/>
        <v>0</v>
      </c>
      <c r="BT61" s="156">
        <f t="shared" si="59"/>
        <v>0</v>
      </c>
      <c r="BU61" s="156">
        <f t="shared" si="59"/>
        <v>0</v>
      </c>
      <c r="BV61" s="156">
        <f t="shared" si="59"/>
        <v>0</v>
      </c>
      <c r="BW61" s="156">
        <f t="shared" si="59"/>
        <v>0</v>
      </c>
      <c r="BX61" s="156">
        <f t="shared" si="59"/>
        <v>0</v>
      </c>
      <c r="BY61" s="156">
        <f t="shared" si="59"/>
        <v>0</v>
      </c>
      <c r="BZ61" s="156">
        <f t="shared" si="59"/>
        <v>0</v>
      </c>
      <c r="CA61" s="156">
        <f t="shared" si="59"/>
        <v>0</v>
      </c>
      <c r="CB61" s="156">
        <f t="shared" si="59"/>
        <v>0</v>
      </c>
      <c r="CC61" s="156">
        <f t="shared" si="59"/>
        <v>0</v>
      </c>
      <c r="CD61" s="156">
        <f t="shared" si="59"/>
        <v>0</v>
      </c>
      <c r="CE61" s="156">
        <f t="shared" si="59"/>
        <v>0</v>
      </c>
      <c r="CF61" s="156">
        <f t="shared" si="59"/>
        <v>0</v>
      </c>
      <c r="CG61" s="156">
        <f t="shared" si="59"/>
        <v>0</v>
      </c>
      <c r="CH61" s="156">
        <f t="shared" si="59"/>
        <v>0</v>
      </c>
      <c r="CI61" s="156">
        <f t="shared" si="59"/>
        <v>0</v>
      </c>
      <c r="CJ61" s="156">
        <f t="shared" si="59"/>
        <v>0</v>
      </c>
      <c r="CK61" s="156">
        <f t="shared" si="59"/>
        <v>0</v>
      </c>
      <c r="CL61" s="156">
        <f t="shared" si="59"/>
        <v>0</v>
      </c>
      <c r="CM61" s="156">
        <f t="shared" si="59"/>
        <v>0</v>
      </c>
      <c r="CN61" s="156">
        <f t="shared" si="59"/>
        <v>0</v>
      </c>
      <c r="CO61" s="156">
        <f t="shared" si="59"/>
        <v>0</v>
      </c>
      <c r="CP61" s="156">
        <f t="shared" si="59"/>
        <v>0</v>
      </c>
      <c r="CQ61" s="156">
        <f t="shared" si="59"/>
        <v>0</v>
      </c>
      <c r="CR61" s="156">
        <f t="shared" si="59"/>
        <v>0</v>
      </c>
      <c r="CS61" s="156">
        <f t="shared" si="59"/>
        <v>0</v>
      </c>
      <c r="CT61" s="156">
        <f t="shared" si="59"/>
        <v>0</v>
      </c>
      <c r="CU61" s="156">
        <f t="shared" si="59"/>
        <v>0</v>
      </c>
      <c r="CV61" s="156">
        <f t="shared" si="59"/>
        <v>0</v>
      </c>
      <c r="CW61" s="156">
        <f t="shared" si="59"/>
        <v>0</v>
      </c>
      <c r="CX61" s="156">
        <f t="shared" si="59"/>
        <v>0</v>
      </c>
      <c r="CY61" s="156">
        <f t="shared" si="59"/>
        <v>0</v>
      </c>
      <c r="DA61" s="156">
        <f>MAX(B61:CY61)</f>
        <v>0</v>
      </c>
      <c r="DB61" s="156">
        <f>MIN(B61:CY61)</f>
        <v>0</v>
      </c>
      <c r="DC61" s="156">
        <f>ABS(DB61)</f>
        <v>0</v>
      </c>
      <c r="DE61" s="156">
        <f>MAX(DA61,DC61)</f>
        <v>0</v>
      </c>
    </row>
    <row r="62" spans="1:109" ht="11.25">
      <c r="A62" s="156" t="s">
        <v>75</v>
      </c>
      <c r="B62" s="156">
        <f>B60+B61</f>
        <v>19.96204921875</v>
      </c>
      <c r="C62" s="156">
        <f aca="true" t="shared" si="60" ref="C62:BN62">C60+C61</f>
        <v>19.00291171875</v>
      </c>
      <c r="D62" s="156">
        <f t="shared" si="60"/>
        <v>18.04377421875</v>
      </c>
      <c r="E62" s="156">
        <f t="shared" si="60"/>
        <v>17.08463671875</v>
      </c>
      <c r="F62" s="156">
        <f t="shared" si="60"/>
        <v>16.12549921875</v>
      </c>
      <c r="G62" s="156">
        <f t="shared" si="60"/>
        <v>15.166361718749998</v>
      </c>
      <c r="H62" s="156">
        <f t="shared" si="60"/>
        <v>14.207224218749998</v>
      </c>
      <c r="I62" s="156">
        <f t="shared" si="60"/>
        <v>13.24808671875</v>
      </c>
      <c r="J62" s="156">
        <f t="shared" si="60"/>
        <v>12.288949218750002</v>
      </c>
      <c r="K62" s="156">
        <f t="shared" si="60"/>
        <v>11.32981171875</v>
      </c>
      <c r="L62" s="156">
        <f t="shared" si="60"/>
        <v>10.370674218749999</v>
      </c>
      <c r="M62" s="156">
        <f t="shared" si="60"/>
        <v>9.41153671875</v>
      </c>
      <c r="N62" s="156">
        <f t="shared" si="60"/>
        <v>8.45239921875</v>
      </c>
      <c r="O62" s="156">
        <f t="shared" si="60"/>
        <v>7.493261718749998</v>
      </c>
      <c r="P62" s="156">
        <f t="shared" si="60"/>
        <v>6.534124218749998</v>
      </c>
      <c r="Q62" s="156">
        <f t="shared" si="60"/>
        <v>5.574986718749996</v>
      </c>
      <c r="R62" s="156">
        <f t="shared" si="60"/>
        <v>4.615849218749996</v>
      </c>
      <c r="S62" s="156">
        <f t="shared" si="60"/>
        <v>3.656711718749995</v>
      </c>
      <c r="T62" s="156">
        <f t="shared" si="60"/>
        <v>2.697574218749994</v>
      </c>
      <c r="U62" s="156">
        <f t="shared" si="60"/>
        <v>1.7384367187499927</v>
      </c>
      <c r="V62" s="156">
        <f t="shared" si="60"/>
        <v>0.7792992187499941</v>
      </c>
      <c r="W62" s="156">
        <f t="shared" si="60"/>
        <v>-0.17983828125000684</v>
      </c>
      <c r="X62" s="156">
        <f t="shared" si="60"/>
        <v>-1.1389757812500079</v>
      </c>
      <c r="Y62" s="156">
        <f t="shared" si="60"/>
        <v>-2.0981132812500087</v>
      </c>
      <c r="Z62" s="156">
        <f t="shared" si="60"/>
        <v>-3.0572507812500094</v>
      </c>
      <c r="AA62" s="156">
        <f t="shared" si="60"/>
        <v>-4.016388281250011</v>
      </c>
      <c r="AB62" s="156">
        <f t="shared" si="60"/>
        <v>-4.9755257812500115</v>
      </c>
      <c r="AC62" s="156">
        <f t="shared" si="60"/>
        <v>-5.934663281250012</v>
      </c>
      <c r="AD62" s="156">
        <f t="shared" si="60"/>
        <v>-6.893800781250014</v>
      </c>
      <c r="AE62" s="156">
        <f t="shared" si="60"/>
        <v>-7.852938281250014</v>
      </c>
      <c r="AF62" s="156">
        <f t="shared" si="60"/>
        <v>-8.812075781250014</v>
      </c>
      <c r="AG62" s="156">
        <f t="shared" si="60"/>
        <v>-9.771213281250017</v>
      </c>
      <c r="AH62" s="156">
        <f t="shared" si="60"/>
        <v>-10.730350781250017</v>
      </c>
      <c r="AI62" s="156">
        <f t="shared" si="60"/>
        <v>-11.689488281250018</v>
      </c>
      <c r="AJ62" s="156">
        <f t="shared" si="60"/>
        <v>-12.648625781250018</v>
      </c>
      <c r="AK62" s="156">
        <f t="shared" si="60"/>
        <v>-13.607763281250019</v>
      </c>
      <c r="AL62" s="156">
        <f t="shared" si="60"/>
        <v>-14.566900781250022</v>
      </c>
      <c r="AM62" s="156">
        <f t="shared" si="60"/>
        <v>-15.52603828125002</v>
      </c>
      <c r="AN62" s="156">
        <f t="shared" si="60"/>
        <v>-16.48517578125002</v>
      </c>
      <c r="AO62" s="156">
        <f t="shared" si="60"/>
        <v>-17.444313281250025</v>
      </c>
      <c r="AP62" s="156">
        <f t="shared" si="60"/>
        <v>-18.40345078125002</v>
      </c>
      <c r="AQ62" s="156">
        <f t="shared" si="60"/>
        <v>-19.362588281250016</v>
      </c>
      <c r="AR62" s="156">
        <f t="shared" si="60"/>
        <v>-20.321725781250013</v>
      </c>
      <c r="AS62" s="156">
        <f t="shared" si="60"/>
        <v>-21.28086328125001</v>
      </c>
      <c r="AT62" s="156">
        <f t="shared" si="60"/>
        <v>-22.240000781250007</v>
      </c>
      <c r="AU62" s="156">
        <f t="shared" si="60"/>
        <v>-23.19913828125</v>
      </c>
      <c r="AV62" s="156">
        <f t="shared" si="60"/>
        <v>-24.15827578125</v>
      </c>
      <c r="AW62" s="156">
        <f t="shared" si="60"/>
        <v>-25.117413281249995</v>
      </c>
      <c r="AX62" s="156">
        <f t="shared" si="60"/>
        <v>-26.076550781249992</v>
      </c>
      <c r="AY62" s="156">
        <f t="shared" si="60"/>
        <v>-27.03568828124999</v>
      </c>
      <c r="AZ62" s="156">
        <f t="shared" si="60"/>
        <v>-27.994825781249986</v>
      </c>
      <c r="BA62" s="156">
        <f t="shared" si="60"/>
        <v>-28.95396328124998</v>
      </c>
      <c r="BB62" s="156">
        <f t="shared" si="60"/>
        <v>-29.91310078124998</v>
      </c>
      <c r="BC62" s="156">
        <f t="shared" si="60"/>
        <v>-30.872238281249977</v>
      </c>
      <c r="BD62" s="156">
        <f t="shared" si="60"/>
        <v>-31.831375781249974</v>
      </c>
      <c r="BE62" s="156">
        <f t="shared" si="60"/>
        <v>-32.79051328124997</v>
      </c>
      <c r="BF62" s="156">
        <f t="shared" si="60"/>
        <v>0</v>
      </c>
      <c r="BG62" s="156">
        <f t="shared" si="60"/>
        <v>0</v>
      </c>
      <c r="BH62" s="156">
        <f t="shared" si="60"/>
        <v>0</v>
      </c>
      <c r="BI62" s="156">
        <f t="shared" si="60"/>
        <v>0</v>
      </c>
      <c r="BJ62" s="156">
        <f t="shared" si="60"/>
        <v>0</v>
      </c>
      <c r="BK62" s="156">
        <f t="shared" si="60"/>
        <v>0</v>
      </c>
      <c r="BL62" s="156">
        <f t="shared" si="60"/>
        <v>0</v>
      </c>
      <c r="BM62" s="156">
        <f t="shared" si="60"/>
        <v>0</v>
      </c>
      <c r="BN62" s="156">
        <f t="shared" si="60"/>
        <v>0</v>
      </c>
      <c r="BO62" s="156">
        <f aca="true" t="shared" si="61" ref="BO62:CY62">BO60+BO61</f>
        <v>0</v>
      </c>
      <c r="BP62" s="156">
        <f t="shared" si="61"/>
        <v>0</v>
      </c>
      <c r="BQ62" s="156">
        <f t="shared" si="61"/>
        <v>0</v>
      </c>
      <c r="BR62" s="156">
        <f t="shared" si="61"/>
        <v>0</v>
      </c>
      <c r="BS62" s="156">
        <f t="shared" si="61"/>
        <v>0</v>
      </c>
      <c r="BT62" s="156">
        <f t="shared" si="61"/>
        <v>0</v>
      </c>
      <c r="BU62" s="156">
        <f t="shared" si="61"/>
        <v>0</v>
      </c>
      <c r="BV62" s="156">
        <f t="shared" si="61"/>
        <v>0</v>
      </c>
      <c r="BW62" s="156">
        <f t="shared" si="61"/>
        <v>0</v>
      </c>
      <c r="BX62" s="156">
        <f t="shared" si="61"/>
        <v>0</v>
      </c>
      <c r="BY62" s="156">
        <f t="shared" si="61"/>
        <v>0</v>
      </c>
      <c r="BZ62" s="156">
        <f t="shared" si="61"/>
        <v>0</v>
      </c>
      <c r="CA62" s="156">
        <f t="shared" si="61"/>
        <v>0</v>
      </c>
      <c r="CB62" s="156">
        <f t="shared" si="61"/>
        <v>0</v>
      </c>
      <c r="CC62" s="156">
        <f t="shared" si="61"/>
        <v>0</v>
      </c>
      <c r="CD62" s="156">
        <f t="shared" si="61"/>
        <v>0</v>
      </c>
      <c r="CE62" s="156">
        <f t="shared" si="61"/>
        <v>0</v>
      </c>
      <c r="CF62" s="156">
        <f t="shared" si="61"/>
        <v>0</v>
      </c>
      <c r="CG62" s="156">
        <f t="shared" si="61"/>
        <v>0</v>
      </c>
      <c r="CH62" s="156">
        <f t="shared" si="61"/>
        <v>0</v>
      </c>
      <c r="CI62" s="156">
        <f t="shared" si="61"/>
        <v>0</v>
      </c>
      <c r="CJ62" s="156">
        <f t="shared" si="61"/>
        <v>0</v>
      </c>
      <c r="CK62" s="156">
        <f t="shared" si="61"/>
        <v>0</v>
      </c>
      <c r="CL62" s="156">
        <f t="shared" si="61"/>
        <v>0</v>
      </c>
      <c r="CM62" s="156">
        <f t="shared" si="61"/>
        <v>0</v>
      </c>
      <c r="CN62" s="156">
        <f t="shared" si="61"/>
        <v>0</v>
      </c>
      <c r="CO62" s="156">
        <f t="shared" si="61"/>
        <v>0</v>
      </c>
      <c r="CP62" s="156">
        <f t="shared" si="61"/>
        <v>0</v>
      </c>
      <c r="CQ62" s="156">
        <f t="shared" si="61"/>
        <v>0</v>
      </c>
      <c r="CR62" s="156">
        <f t="shared" si="61"/>
        <v>0</v>
      </c>
      <c r="CS62" s="156">
        <f t="shared" si="61"/>
        <v>0</v>
      </c>
      <c r="CT62" s="156">
        <f t="shared" si="61"/>
        <v>0</v>
      </c>
      <c r="CU62" s="156">
        <f t="shared" si="61"/>
        <v>0</v>
      </c>
      <c r="CV62" s="156">
        <f t="shared" si="61"/>
        <v>0</v>
      </c>
      <c r="CW62" s="156">
        <f t="shared" si="61"/>
        <v>0</v>
      </c>
      <c r="CX62" s="156">
        <f t="shared" si="61"/>
        <v>0</v>
      </c>
      <c r="CY62" s="156">
        <f t="shared" si="61"/>
        <v>-4.016388281250002</v>
      </c>
      <c r="DA62" s="156">
        <f>MAX(B62:CY62)</f>
        <v>19.96204921875</v>
      </c>
      <c r="DB62" s="156">
        <f>MIN(B62:CY62)</f>
        <v>-32.79051328124997</v>
      </c>
      <c r="DC62" s="156">
        <f>ABS(DB62)</f>
        <v>32.79051328124997</v>
      </c>
      <c r="DE62" s="156">
        <f>MAX(DA62,DC62)</f>
        <v>32.79051328124997</v>
      </c>
    </row>
    <row r="64" spans="1:109" ht="11.25">
      <c r="A64" s="156" t="s">
        <v>328</v>
      </c>
      <c r="B64" s="156">
        <f>IF(B16&gt;$B$2,0,$B$9*$B$2*B16*(($B$2^3)-(3*$B$2*B16^2)+(2*B16^3))/(48*$B$7*$B$8*$B$2))*10000000</f>
        <v>0</v>
      </c>
      <c r="C64" s="156">
        <f aca="true" t="shared" si="62" ref="C64:BN64">IF(C16&gt;$B$2,0,$B$9*$B$2*C16*(($B$2^3)-(3*$B$2*C16^2)+(2*C16^3))/(48*$B$7*$B$8*$B$2))*10000000</f>
        <v>129.53221943204363</v>
      </c>
      <c r="D64" s="156">
        <f t="shared" si="62"/>
        <v>258.32800086805554</v>
      </c>
      <c r="E64" s="156">
        <f t="shared" si="62"/>
        <v>385.68427734375</v>
      </c>
      <c r="F64" s="156">
        <f t="shared" si="62"/>
        <v>510.9343866567461</v>
      </c>
      <c r="G64" s="156">
        <f t="shared" si="62"/>
        <v>633.4480713665674</v>
      </c>
      <c r="H64" s="156">
        <f t="shared" si="62"/>
        <v>752.6314787946426</v>
      </c>
      <c r="I64" s="156">
        <f t="shared" si="62"/>
        <v>867.9271610243054</v>
      </c>
      <c r="J64" s="156">
        <f t="shared" si="62"/>
        <v>978.8140749007936</v>
      </c>
      <c r="K64" s="156">
        <f t="shared" si="62"/>
        <v>1084.8075820312497</v>
      </c>
      <c r="L64" s="156">
        <f t="shared" si="62"/>
        <v>1185.4594487847216</v>
      </c>
      <c r="M64" s="156">
        <f t="shared" si="62"/>
        <v>1280.3578462921623</v>
      </c>
      <c r="N64" s="156">
        <f t="shared" si="62"/>
        <v>1369.1273504464282</v>
      </c>
      <c r="O64" s="156">
        <f t="shared" si="62"/>
        <v>1451.4289419022816</v>
      </c>
      <c r="P64" s="156">
        <f t="shared" si="62"/>
        <v>1526.9600060763887</v>
      </c>
      <c r="Q64" s="156">
        <f t="shared" si="62"/>
        <v>1595.4543331473214</v>
      </c>
      <c r="R64" s="156">
        <f t="shared" si="62"/>
        <v>1656.682118055555</v>
      </c>
      <c r="S64" s="156">
        <f t="shared" si="62"/>
        <v>1710.4499605034719</v>
      </c>
      <c r="T64" s="156">
        <f t="shared" si="62"/>
        <v>1756.6008649553573</v>
      </c>
      <c r="U64" s="156">
        <f t="shared" si="62"/>
        <v>1795.0142406374005</v>
      </c>
      <c r="V64" s="156">
        <f t="shared" si="62"/>
        <v>1825.6059015376982</v>
      </c>
      <c r="W64" s="156">
        <f t="shared" si="62"/>
        <v>1848.32806640625</v>
      </c>
      <c r="X64" s="156">
        <f t="shared" si="62"/>
        <v>1863.16935875496</v>
      </c>
      <c r="Y64" s="156">
        <f t="shared" si="62"/>
        <v>1870.1548068576387</v>
      </c>
      <c r="Z64" s="156">
        <f t="shared" si="62"/>
        <v>1869.3458437499994</v>
      </c>
      <c r="AA64" s="156">
        <f t="shared" si="62"/>
        <v>1860.8403072296621</v>
      </c>
      <c r="AB64" s="156">
        <f t="shared" si="62"/>
        <v>1844.77243985615</v>
      </c>
      <c r="AC64" s="156">
        <f t="shared" si="62"/>
        <v>1821.3128889508923</v>
      </c>
      <c r="AD64" s="156">
        <f t="shared" si="62"/>
        <v>1790.6687065972221</v>
      </c>
      <c r="AE64" s="156">
        <f t="shared" si="62"/>
        <v>1753.0833496403761</v>
      </c>
      <c r="AF64" s="156">
        <f t="shared" si="62"/>
        <v>1708.836679687499</v>
      </c>
      <c r="AG64" s="156">
        <f t="shared" si="62"/>
        <v>1658.244963107638</v>
      </c>
      <c r="AH64" s="156">
        <f t="shared" si="62"/>
        <v>1601.6608710317455</v>
      </c>
      <c r="AI64" s="156">
        <f t="shared" si="62"/>
        <v>1539.4734793526773</v>
      </c>
      <c r="AJ64" s="156">
        <f t="shared" si="62"/>
        <v>1472.1082687251978</v>
      </c>
      <c r="AK64" s="156">
        <f t="shared" si="62"/>
        <v>1400.0271245659712</v>
      </c>
      <c r="AL64" s="156">
        <f t="shared" si="62"/>
        <v>1323.7283370535702</v>
      </c>
      <c r="AM64" s="156">
        <f t="shared" si="62"/>
        <v>1243.746601128471</v>
      </c>
      <c r="AN64" s="156">
        <f t="shared" si="62"/>
        <v>1160.6530164930537</v>
      </c>
      <c r="AO64" s="156">
        <f t="shared" si="62"/>
        <v>1075.0550876116054</v>
      </c>
      <c r="AP64" s="156">
        <f t="shared" si="62"/>
        <v>987.5967237103164</v>
      </c>
      <c r="AQ64" s="156">
        <f t="shared" si="62"/>
        <v>898.9582387772806</v>
      </c>
      <c r="AR64" s="156">
        <f t="shared" si="62"/>
        <v>809.8563515624986</v>
      </c>
      <c r="AS64" s="156">
        <f t="shared" si="62"/>
        <v>721.0441855778771</v>
      </c>
      <c r="AT64" s="156">
        <f t="shared" si="62"/>
        <v>633.3112690972235</v>
      </c>
      <c r="AU64" s="156">
        <f t="shared" si="62"/>
        <v>547.4835351562506</v>
      </c>
      <c r="AV64" s="156">
        <f t="shared" si="62"/>
        <v>464.42332155257975</v>
      </c>
      <c r="AW64" s="156">
        <f t="shared" si="62"/>
        <v>385.02937084573426</v>
      </c>
      <c r="AX64" s="156">
        <f t="shared" si="62"/>
        <v>310.23683035714464</v>
      </c>
      <c r="AY64" s="156">
        <f t="shared" si="62"/>
        <v>241.017252170139</v>
      </c>
      <c r="AZ64" s="156">
        <f t="shared" si="62"/>
        <v>178.3785931299628</v>
      </c>
      <c r="BA64" s="156">
        <f t="shared" si="62"/>
        <v>123.36521484375153</v>
      </c>
      <c r="BB64" s="156">
        <f t="shared" si="62"/>
        <v>77.05788368055705</v>
      </c>
      <c r="BC64" s="156">
        <f t="shared" si="62"/>
        <v>40.57377077133071</v>
      </c>
      <c r="BD64" s="156">
        <f t="shared" si="62"/>
        <v>15.066452008929643</v>
      </c>
      <c r="BE64" s="156">
        <f t="shared" si="62"/>
        <v>1.7259080481181324</v>
      </c>
      <c r="BF64" s="156">
        <f t="shared" si="62"/>
        <v>0</v>
      </c>
      <c r="BG64" s="156">
        <f t="shared" si="62"/>
        <v>0</v>
      </c>
      <c r="BH64" s="156">
        <f t="shared" si="62"/>
        <v>0</v>
      </c>
      <c r="BI64" s="156">
        <f t="shared" si="62"/>
        <v>0</v>
      </c>
      <c r="BJ64" s="156">
        <f t="shared" si="62"/>
        <v>0</v>
      </c>
      <c r="BK64" s="156">
        <f t="shared" si="62"/>
        <v>0</v>
      </c>
      <c r="BL64" s="156">
        <f t="shared" si="62"/>
        <v>0</v>
      </c>
      <c r="BM64" s="156">
        <f t="shared" si="62"/>
        <v>0</v>
      </c>
      <c r="BN64" s="156">
        <f t="shared" si="62"/>
        <v>0</v>
      </c>
      <c r="BO64" s="156">
        <f aca="true" t="shared" si="63" ref="BO64:CY64">IF(BO16&gt;$B$2,0,$B$9*$B$2*BO16*(($B$2^3)-(3*$B$2*BO16^2)+(2*BO16^3))/(48*$B$7*$B$8*$B$2))*10000000</f>
        <v>0</v>
      </c>
      <c r="BP64" s="156">
        <f t="shared" si="63"/>
        <v>0</v>
      </c>
      <c r="BQ64" s="156">
        <f t="shared" si="63"/>
        <v>0</v>
      </c>
      <c r="BR64" s="156">
        <f t="shared" si="63"/>
        <v>0</v>
      </c>
      <c r="BS64" s="156">
        <f t="shared" si="63"/>
        <v>0</v>
      </c>
      <c r="BT64" s="156">
        <f t="shared" si="63"/>
        <v>0</v>
      </c>
      <c r="BU64" s="156">
        <f t="shared" si="63"/>
        <v>0</v>
      </c>
      <c r="BV64" s="156">
        <f t="shared" si="63"/>
        <v>0</v>
      </c>
      <c r="BW64" s="156">
        <f t="shared" si="63"/>
        <v>0</v>
      </c>
      <c r="BX64" s="156">
        <f t="shared" si="63"/>
        <v>0</v>
      </c>
      <c r="BY64" s="156">
        <f t="shared" si="63"/>
        <v>0</v>
      </c>
      <c r="BZ64" s="156">
        <f t="shared" si="63"/>
        <v>0</v>
      </c>
      <c r="CA64" s="156">
        <f t="shared" si="63"/>
        <v>0</v>
      </c>
      <c r="CB64" s="156">
        <f t="shared" si="63"/>
        <v>0</v>
      </c>
      <c r="CC64" s="156">
        <f t="shared" si="63"/>
        <v>0</v>
      </c>
      <c r="CD64" s="156">
        <f t="shared" si="63"/>
        <v>0</v>
      </c>
      <c r="CE64" s="156">
        <f t="shared" si="63"/>
        <v>0</v>
      </c>
      <c r="CF64" s="156">
        <f t="shared" si="63"/>
        <v>0</v>
      </c>
      <c r="CG64" s="156">
        <f t="shared" si="63"/>
        <v>0</v>
      </c>
      <c r="CH64" s="156">
        <f t="shared" si="63"/>
        <v>0</v>
      </c>
      <c r="CI64" s="156">
        <f t="shared" si="63"/>
        <v>0</v>
      </c>
      <c r="CJ64" s="156">
        <f t="shared" si="63"/>
        <v>0</v>
      </c>
      <c r="CK64" s="156">
        <f t="shared" si="63"/>
        <v>0</v>
      </c>
      <c r="CL64" s="156">
        <f t="shared" si="63"/>
        <v>0</v>
      </c>
      <c r="CM64" s="156">
        <f t="shared" si="63"/>
        <v>0</v>
      </c>
      <c r="CN64" s="156">
        <f t="shared" si="63"/>
        <v>0</v>
      </c>
      <c r="CO64" s="156">
        <f t="shared" si="63"/>
        <v>0</v>
      </c>
      <c r="CP64" s="156">
        <f t="shared" si="63"/>
        <v>0</v>
      </c>
      <c r="CQ64" s="156">
        <f t="shared" si="63"/>
        <v>0</v>
      </c>
      <c r="CR64" s="156">
        <f t="shared" si="63"/>
        <v>0</v>
      </c>
      <c r="CS64" s="156">
        <f t="shared" si="63"/>
        <v>0</v>
      </c>
      <c r="CT64" s="156">
        <f t="shared" si="63"/>
        <v>0</v>
      </c>
      <c r="CU64" s="156">
        <f t="shared" si="63"/>
        <v>0</v>
      </c>
      <c r="CV64" s="156">
        <f t="shared" si="63"/>
        <v>0</v>
      </c>
      <c r="CW64" s="156">
        <f t="shared" si="63"/>
        <v>0</v>
      </c>
      <c r="CX64" s="156">
        <f t="shared" si="63"/>
        <v>0</v>
      </c>
      <c r="CY64" s="156">
        <f t="shared" si="63"/>
        <v>1860.8403072296626</v>
      </c>
      <c r="DA64" s="156">
        <f>MAX(B64:CY64)</f>
        <v>1870.1548068576387</v>
      </c>
      <c r="DB64" s="156">
        <f>MIN(B64:CY64)</f>
        <v>0</v>
      </c>
      <c r="DC64" s="156">
        <f>ABS(DB64)</f>
        <v>0</v>
      </c>
      <c r="DE64" s="156">
        <f>MAX(DA64,DC64)</f>
        <v>1870.1548068576387</v>
      </c>
    </row>
    <row r="65" spans="1:109" ht="11.25">
      <c r="A65" s="160" t="s">
        <v>329</v>
      </c>
      <c r="B65" s="156">
        <f>IF(B16&gt;$B$2,0,IF(B16&lt;=$B$5,-$I$3*((B16^3/6)-($I$9*B16))/($B$7*$B$8)*10000000,-$I$3*((B16^3/6)-($I$9*B16))/($B$7*$B$8)*10000000+($B$10*10000000/($B$7*$B$8)*((B16^3/6)-(B16^2*$B$5/2)+($I$10*B16)+($I$11)))))</f>
        <v>0</v>
      </c>
      <c r="C65" s="156">
        <f aca="true" t="shared" si="64" ref="C65:BN65">IF(C16&gt;$B$2,0,IF(C16&lt;=$B$5,-$I$3*((C16^3/6)-($I$9*C16))/($B$7*$B$8)*10000000,-$I$3*((C16^3/6)-($I$9*C16))/($B$7*$B$8)*10000000+($B$10*10000000/($B$7*$B$8)*((C16^3/6)-(C16^2*$B$5/2)+($I$10*C16)+($I$11)))))</f>
        <v>0</v>
      </c>
      <c r="D65" s="156">
        <f t="shared" si="64"/>
        <v>0</v>
      </c>
      <c r="E65" s="156">
        <f t="shared" si="64"/>
        <v>0</v>
      </c>
      <c r="F65" s="156">
        <f t="shared" si="64"/>
        <v>0</v>
      </c>
      <c r="G65" s="156">
        <f t="shared" si="64"/>
        <v>0</v>
      </c>
      <c r="H65" s="156">
        <f t="shared" si="64"/>
        <v>0</v>
      </c>
      <c r="I65" s="156">
        <f t="shared" si="64"/>
        <v>0</v>
      </c>
      <c r="J65" s="156">
        <f t="shared" si="64"/>
        <v>0</v>
      </c>
      <c r="K65" s="156">
        <f t="shared" si="64"/>
        <v>0</v>
      </c>
      <c r="L65" s="156">
        <f t="shared" si="64"/>
        <v>0</v>
      </c>
      <c r="M65" s="156">
        <f t="shared" si="64"/>
        <v>0</v>
      </c>
      <c r="N65" s="156">
        <f t="shared" si="64"/>
        <v>0</v>
      </c>
      <c r="O65" s="156">
        <f t="shared" si="64"/>
        <v>0</v>
      </c>
      <c r="P65" s="156">
        <f t="shared" si="64"/>
        <v>0</v>
      </c>
      <c r="Q65" s="156">
        <f t="shared" si="64"/>
        <v>0</v>
      </c>
      <c r="R65" s="156">
        <f t="shared" si="64"/>
        <v>0</v>
      </c>
      <c r="S65" s="156">
        <f t="shared" si="64"/>
        <v>0</v>
      </c>
      <c r="T65" s="156">
        <f t="shared" si="64"/>
        <v>0</v>
      </c>
      <c r="U65" s="156">
        <f t="shared" si="64"/>
        <v>0</v>
      </c>
      <c r="V65" s="156">
        <f t="shared" si="64"/>
        <v>0</v>
      </c>
      <c r="W65" s="156">
        <f t="shared" si="64"/>
        <v>0</v>
      </c>
      <c r="X65" s="156">
        <f t="shared" si="64"/>
        <v>0</v>
      </c>
      <c r="Y65" s="156">
        <f t="shared" si="64"/>
        <v>0</v>
      </c>
      <c r="Z65" s="156">
        <f t="shared" si="64"/>
        <v>0</v>
      </c>
      <c r="AA65" s="156">
        <f t="shared" si="64"/>
        <v>0</v>
      </c>
      <c r="AB65" s="156">
        <f t="shared" si="64"/>
        <v>0</v>
      </c>
      <c r="AC65" s="156">
        <f t="shared" si="64"/>
        <v>0</v>
      </c>
      <c r="AD65" s="156">
        <f t="shared" si="64"/>
        <v>0</v>
      </c>
      <c r="AE65" s="156">
        <f t="shared" si="64"/>
        <v>0</v>
      </c>
      <c r="AF65" s="156">
        <f t="shared" si="64"/>
        <v>0</v>
      </c>
      <c r="AG65" s="156">
        <f t="shared" si="64"/>
        <v>0</v>
      </c>
      <c r="AH65" s="156">
        <f t="shared" si="64"/>
        <v>0</v>
      </c>
      <c r="AI65" s="156">
        <f t="shared" si="64"/>
        <v>0</v>
      </c>
      <c r="AJ65" s="156">
        <f t="shared" si="64"/>
        <v>0</v>
      </c>
      <c r="AK65" s="156">
        <f t="shared" si="64"/>
        <v>0</v>
      </c>
      <c r="AL65" s="156">
        <f t="shared" si="64"/>
        <v>0</v>
      </c>
      <c r="AM65" s="156">
        <f t="shared" si="64"/>
        <v>0</v>
      </c>
      <c r="AN65" s="156">
        <f t="shared" si="64"/>
        <v>0</v>
      </c>
      <c r="AO65" s="156">
        <f t="shared" si="64"/>
        <v>0</v>
      </c>
      <c r="AP65" s="156">
        <f t="shared" si="64"/>
        <v>0</v>
      </c>
      <c r="AQ65" s="156">
        <f t="shared" si="64"/>
        <v>0</v>
      </c>
      <c r="AR65" s="156">
        <f t="shared" si="64"/>
        <v>0</v>
      </c>
      <c r="AS65" s="156">
        <f t="shared" si="64"/>
        <v>0</v>
      </c>
      <c r="AT65" s="156">
        <f t="shared" si="64"/>
        <v>0</v>
      </c>
      <c r="AU65" s="156">
        <f t="shared" si="64"/>
        <v>0</v>
      </c>
      <c r="AV65" s="156">
        <f t="shared" si="64"/>
        <v>0</v>
      </c>
      <c r="AW65" s="156">
        <f t="shared" si="64"/>
        <v>0</v>
      </c>
      <c r="AX65" s="156">
        <f t="shared" si="64"/>
        <v>0</v>
      </c>
      <c r="AY65" s="156">
        <f t="shared" si="64"/>
        <v>0</v>
      </c>
      <c r="AZ65" s="156">
        <f t="shared" si="64"/>
        <v>0</v>
      </c>
      <c r="BA65" s="156">
        <f t="shared" si="64"/>
        <v>0</v>
      </c>
      <c r="BB65" s="156">
        <f t="shared" si="64"/>
        <v>0</v>
      </c>
      <c r="BC65" s="156">
        <f t="shared" si="64"/>
        <v>0</v>
      </c>
      <c r="BD65" s="156">
        <f t="shared" si="64"/>
        <v>0</v>
      </c>
      <c r="BE65" s="156">
        <f t="shared" si="64"/>
        <v>0</v>
      </c>
      <c r="BF65" s="156">
        <f t="shared" si="64"/>
        <v>0</v>
      </c>
      <c r="BG65" s="156">
        <f t="shared" si="64"/>
        <v>0</v>
      </c>
      <c r="BH65" s="156">
        <f t="shared" si="64"/>
        <v>0</v>
      </c>
      <c r="BI65" s="156">
        <f t="shared" si="64"/>
        <v>0</v>
      </c>
      <c r="BJ65" s="156">
        <f t="shared" si="64"/>
        <v>0</v>
      </c>
      <c r="BK65" s="156">
        <f t="shared" si="64"/>
        <v>0</v>
      </c>
      <c r="BL65" s="156">
        <f t="shared" si="64"/>
        <v>0</v>
      </c>
      <c r="BM65" s="156">
        <f t="shared" si="64"/>
        <v>0</v>
      </c>
      <c r="BN65" s="156">
        <f t="shared" si="64"/>
        <v>0</v>
      </c>
      <c r="BO65" s="156">
        <f aca="true" t="shared" si="65" ref="BO65:CY65">IF(BO16&gt;$B$2,0,IF(BO16&lt;=$B$5,-$I$3*((BO16^3/6)-($I$9*BO16))/($B$7*$B$8)*10000000,-$I$3*((BO16^3/6)-($I$9*BO16))/($B$7*$B$8)*10000000+($B$10*10000000/($B$7*$B$8)*((BO16^3/6)-(BO16^2*$B$5/2)+($I$10*BO16)+($I$11)))))</f>
        <v>0</v>
      </c>
      <c r="BP65" s="156">
        <f t="shared" si="65"/>
        <v>0</v>
      </c>
      <c r="BQ65" s="156">
        <f t="shared" si="65"/>
        <v>0</v>
      </c>
      <c r="BR65" s="156">
        <f t="shared" si="65"/>
        <v>0</v>
      </c>
      <c r="BS65" s="156">
        <f t="shared" si="65"/>
        <v>0</v>
      </c>
      <c r="BT65" s="156">
        <f t="shared" si="65"/>
        <v>0</v>
      </c>
      <c r="BU65" s="156">
        <f t="shared" si="65"/>
        <v>0</v>
      </c>
      <c r="BV65" s="156">
        <f t="shared" si="65"/>
        <v>0</v>
      </c>
      <c r="BW65" s="156">
        <f t="shared" si="65"/>
        <v>0</v>
      </c>
      <c r="BX65" s="156">
        <f t="shared" si="65"/>
        <v>0</v>
      </c>
      <c r="BY65" s="156">
        <f t="shared" si="65"/>
        <v>0</v>
      </c>
      <c r="BZ65" s="156">
        <f t="shared" si="65"/>
        <v>0</v>
      </c>
      <c r="CA65" s="156">
        <f t="shared" si="65"/>
        <v>0</v>
      </c>
      <c r="CB65" s="156">
        <f t="shared" si="65"/>
        <v>0</v>
      </c>
      <c r="CC65" s="156">
        <f t="shared" si="65"/>
        <v>0</v>
      </c>
      <c r="CD65" s="156">
        <f t="shared" si="65"/>
        <v>0</v>
      </c>
      <c r="CE65" s="156">
        <f t="shared" si="65"/>
        <v>0</v>
      </c>
      <c r="CF65" s="156">
        <f t="shared" si="65"/>
        <v>0</v>
      </c>
      <c r="CG65" s="156">
        <f t="shared" si="65"/>
        <v>0</v>
      </c>
      <c r="CH65" s="156">
        <f t="shared" si="65"/>
        <v>0</v>
      </c>
      <c r="CI65" s="156">
        <f t="shared" si="65"/>
        <v>0</v>
      </c>
      <c r="CJ65" s="156">
        <f t="shared" si="65"/>
        <v>0</v>
      </c>
      <c r="CK65" s="156">
        <f t="shared" si="65"/>
        <v>0</v>
      </c>
      <c r="CL65" s="156">
        <f t="shared" si="65"/>
        <v>0</v>
      </c>
      <c r="CM65" s="156">
        <f t="shared" si="65"/>
        <v>0</v>
      </c>
      <c r="CN65" s="156">
        <f t="shared" si="65"/>
        <v>0</v>
      </c>
      <c r="CO65" s="156">
        <f t="shared" si="65"/>
        <v>0</v>
      </c>
      <c r="CP65" s="156">
        <f t="shared" si="65"/>
        <v>0</v>
      </c>
      <c r="CQ65" s="156">
        <f t="shared" si="65"/>
        <v>0</v>
      </c>
      <c r="CR65" s="156">
        <f t="shared" si="65"/>
        <v>0</v>
      </c>
      <c r="CS65" s="156">
        <f t="shared" si="65"/>
        <v>0</v>
      </c>
      <c r="CT65" s="156">
        <f t="shared" si="65"/>
        <v>0</v>
      </c>
      <c r="CU65" s="156">
        <f t="shared" si="65"/>
        <v>0</v>
      </c>
      <c r="CV65" s="156">
        <f t="shared" si="65"/>
        <v>0</v>
      </c>
      <c r="CW65" s="156">
        <f t="shared" si="65"/>
        <v>0</v>
      </c>
      <c r="CX65" s="156">
        <f t="shared" si="65"/>
        <v>0</v>
      </c>
      <c r="CY65" s="156">
        <f t="shared" si="65"/>
        <v>0</v>
      </c>
      <c r="DA65" s="156">
        <f>MAX(B65:CY65)</f>
        <v>0</v>
      </c>
      <c r="DB65" s="156">
        <f>MIN(B65:CY65)</f>
        <v>0</v>
      </c>
      <c r="DC65" s="156">
        <f>ABS(DB65)</f>
        <v>0</v>
      </c>
      <c r="DE65" s="156">
        <f>MAX(DA65,DC65)</f>
        <v>0</v>
      </c>
    </row>
    <row r="66" spans="1:109" ht="11.25">
      <c r="A66" s="156" t="s">
        <v>75</v>
      </c>
      <c r="B66" s="156">
        <f aca="true" t="shared" si="66" ref="B66:AG66">B64+B65</f>
        <v>0</v>
      </c>
      <c r="C66" s="156">
        <f t="shared" si="66"/>
        <v>129.53221943204363</v>
      </c>
      <c r="D66" s="156">
        <f t="shared" si="66"/>
        <v>258.32800086805554</v>
      </c>
      <c r="E66" s="156">
        <f t="shared" si="66"/>
        <v>385.68427734375</v>
      </c>
      <c r="F66" s="156">
        <f t="shared" si="66"/>
        <v>510.9343866567461</v>
      </c>
      <c r="G66" s="156">
        <f t="shared" si="66"/>
        <v>633.4480713665674</v>
      </c>
      <c r="H66" s="156">
        <f t="shared" si="66"/>
        <v>752.6314787946426</v>
      </c>
      <c r="I66" s="156">
        <f t="shared" si="66"/>
        <v>867.9271610243054</v>
      </c>
      <c r="J66" s="156">
        <f t="shared" si="66"/>
        <v>978.8140749007936</v>
      </c>
      <c r="K66" s="156">
        <f t="shared" si="66"/>
        <v>1084.8075820312497</v>
      </c>
      <c r="L66" s="156">
        <f t="shared" si="66"/>
        <v>1185.4594487847216</v>
      </c>
      <c r="M66" s="156">
        <f t="shared" si="66"/>
        <v>1280.3578462921623</v>
      </c>
      <c r="N66" s="156">
        <f t="shared" si="66"/>
        <v>1369.1273504464282</v>
      </c>
      <c r="O66" s="156">
        <f t="shared" si="66"/>
        <v>1451.4289419022816</v>
      </c>
      <c r="P66" s="156">
        <f t="shared" si="66"/>
        <v>1526.9600060763887</v>
      </c>
      <c r="Q66" s="156">
        <f t="shared" si="66"/>
        <v>1595.4543331473214</v>
      </c>
      <c r="R66" s="156">
        <f t="shared" si="66"/>
        <v>1656.682118055555</v>
      </c>
      <c r="S66" s="156">
        <f t="shared" si="66"/>
        <v>1710.4499605034719</v>
      </c>
      <c r="T66" s="156">
        <f t="shared" si="66"/>
        <v>1756.6008649553573</v>
      </c>
      <c r="U66" s="156">
        <f t="shared" si="66"/>
        <v>1795.0142406374005</v>
      </c>
      <c r="V66" s="156">
        <f t="shared" si="66"/>
        <v>1825.6059015376982</v>
      </c>
      <c r="W66" s="156">
        <f t="shared" si="66"/>
        <v>1848.32806640625</v>
      </c>
      <c r="X66" s="156">
        <f t="shared" si="66"/>
        <v>1863.16935875496</v>
      </c>
      <c r="Y66" s="156">
        <f t="shared" si="66"/>
        <v>1870.1548068576387</v>
      </c>
      <c r="Z66" s="156">
        <f t="shared" si="66"/>
        <v>1869.3458437499994</v>
      </c>
      <c r="AA66" s="156">
        <f t="shared" si="66"/>
        <v>1860.8403072296621</v>
      </c>
      <c r="AB66" s="156">
        <f t="shared" si="66"/>
        <v>1844.77243985615</v>
      </c>
      <c r="AC66" s="156">
        <f t="shared" si="66"/>
        <v>1821.3128889508923</v>
      </c>
      <c r="AD66" s="156">
        <f t="shared" si="66"/>
        <v>1790.6687065972221</v>
      </c>
      <c r="AE66" s="156">
        <f t="shared" si="66"/>
        <v>1753.0833496403761</v>
      </c>
      <c r="AF66" s="156">
        <f t="shared" si="66"/>
        <v>1708.836679687499</v>
      </c>
      <c r="AG66" s="156">
        <f t="shared" si="66"/>
        <v>1658.244963107638</v>
      </c>
      <c r="AH66" s="156">
        <f aca="true" t="shared" si="67" ref="AH66:BM66">AH64+AH65</f>
        <v>1601.6608710317455</v>
      </c>
      <c r="AI66" s="156">
        <f t="shared" si="67"/>
        <v>1539.4734793526773</v>
      </c>
      <c r="AJ66" s="156">
        <f t="shared" si="67"/>
        <v>1472.1082687251978</v>
      </c>
      <c r="AK66" s="156">
        <f t="shared" si="67"/>
        <v>1400.0271245659712</v>
      </c>
      <c r="AL66" s="156">
        <f t="shared" si="67"/>
        <v>1323.7283370535702</v>
      </c>
      <c r="AM66" s="156">
        <f t="shared" si="67"/>
        <v>1243.746601128471</v>
      </c>
      <c r="AN66" s="156">
        <f t="shared" si="67"/>
        <v>1160.6530164930537</v>
      </c>
      <c r="AO66" s="156">
        <f t="shared" si="67"/>
        <v>1075.0550876116054</v>
      </c>
      <c r="AP66" s="156">
        <f t="shared" si="67"/>
        <v>987.5967237103164</v>
      </c>
      <c r="AQ66" s="156">
        <f t="shared" si="67"/>
        <v>898.9582387772806</v>
      </c>
      <c r="AR66" s="156">
        <f t="shared" si="67"/>
        <v>809.8563515624986</v>
      </c>
      <c r="AS66" s="156">
        <f t="shared" si="67"/>
        <v>721.0441855778771</v>
      </c>
      <c r="AT66" s="156">
        <f t="shared" si="67"/>
        <v>633.3112690972235</v>
      </c>
      <c r="AU66" s="156">
        <f t="shared" si="67"/>
        <v>547.4835351562506</v>
      </c>
      <c r="AV66" s="156">
        <f t="shared" si="67"/>
        <v>464.42332155257975</v>
      </c>
      <c r="AW66" s="156">
        <f t="shared" si="67"/>
        <v>385.02937084573426</v>
      </c>
      <c r="AX66" s="156">
        <f t="shared" si="67"/>
        <v>310.23683035714464</v>
      </c>
      <c r="AY66" s="156">
        <f t="shared" si="67"/>
        <v>241.017252170139</v>
      </c>
      <c r="AZ66" s="156">
        <f t="shared" si="67"/>
        <v>178.3785931299628</v>
      </c>
      <c r="BA66" s="156">
        <f t="shared" si="67"/>
        <v>123.36521484375153</v>
      </c>
      <c r="BB66" s="156">
        <f t="shared" si="67"/>
        <v>77.05788368055705</v>
      </c>
      <c r="BC66" s="156">
        <f t="shared" si="67"/>
        <v>40.57377077133071</v>
      </c>
      <c r="BD66" s="156">
        <f t="shared" si="67"/>
        <v>15.066452008929643</v>
      </c>
      <c r="BE66" s="156">
        <f t="shared" si="67"/>
        <v>1.7259080481181324</v>
      </c>
      <c r="BF66" s="156">
        <f t="shared" si="67"/>
        <v>0</v>
      </c>
      <c r="BG66" s="156">
        <f t="shared" si="67"/>
        <v>0</v>
      </c>
      <c r="BH66" s="156">
        <f t="shared" si="67"/>
        <v>0</v>
      </c>
      <c r="BI66" s="156">
        <f t="shared" si="67"/>
        <v>0</v>
      </c>
      <c r="BJ66" s="156">
        <f t="shared" si="67"/>
        <v>0</v>
      </c>
      <c r="BK66" s="156">
        <f t="shared" si="67"/>
        <v>0</v>
      </c>
      <c r="BL66" s="156">
        <f t="shared" si="67"/>
        <v>0</v>
      </c>
      <c r="BM66" s="156">
        <f t="shared" si="67"/>
        <v>0</v>
      </c>
      <c r="BN66" s="156">
        <f aca="true" t="shared" si="68" ref="BN66:CS66">BN64+BN65</f>
        <v>0</v>
      </c>
      <c r="BO66" s="156">
        <f t="shared" si="68"/>
        <v>0</v>
      </c>
      <c r="BP66" s="156">
        <f t="shared" si="68"/>
        <v>0</v>
      </c>
      <c r="BQ66" s="156">
        <f t="shared" si="68"/>
        <v>0</v>
      </c>
      <c r="BR66" s="156">
        <f t="shared" si="68"/>
        <v>0</v>
      </c>
      <c r="BS66" s="156">
        <f t="shared" si="68"/>
        <v>0</v>
      </c>
      <c r="BT66" s="156">
        <f t="shared" si="68"/>
        <v>0</v>
      </c>
      <c r="BU66" s="156">
        <f t="shared" si="68"/>
        <v>0</v>
      </c>
      <c r="BV66" s="156">
        <f t="shared" si="68"/>
        <v>0</v>
      </c>
      <c r="BW66" s="156">
        <f t="shared" si="68"/>
        <v>0</v>
      </c>
      <c r="BX66" s="156">
        <f t="shared" si="68"/>
        <v>0</v>
      </c>
      <c r="BY66" s="156">
        <f t="shared" si="68"/>
        <v>0</v>
      </c>
      <c r="BZ66" s="156">
        <f t="shared" si="68"/>
        <v>0</v>
      </c>
      <c r="CA66" s="156">
        <f t="shared" si="68"/>
        <v>0</v>
      </c>
      <c r="CB66" s="156">
        <f t="shared" si="68"/>
        <v>0</v>
      </c>
      <c r="CC66" s="156">
        <f t="shared" si="68"/>
        <v>0</v>
      </c>
      <c r="CD66" s="156">
        <f t="shared" si="68"/>
        <v>0</v>
      </c>
      <c r="CE66" s="156">
        <f t="shared" si="68"/>
        <v>0</v>
      </c>
      <c r="CF66" s="156">
        <f t="shared" si="68"/>
        <v>0</v>
      </c>
      <c r="CG66" s="156">
        <f t="shared" si="68"/>
        <v>0</v>
      </c>
      <c r="CH66" s="156">
        <f t="shared" si="68"/>
        <v>0</v>
      </c>
      <c r="CI66" s="156">
        <f t="shared" si="68"/>
        <v>0</v>
      </c>
      <c r="CJ66" s="156">
        <f t="shared" si="68"/>
        <v>0</v>
      </c>
      <c r="CK66" s="156">
        <f t="shared" si="68"/>
        <v>0</v>
      </c>
      <c r="CL66" s="156">
        <f t="shared" si="68"/>
        <v>0</v>
      </c>
      <c r="CM66" s="156">
        <f t="shared" si="68"/>
        <v>0</v>
      </c>
      <c r="CN66" s="156">
        <f t="shared" si="68"/>
        <v>0</v>
      </c>
      <c r="CO66" s="156">
        <f t="shared" si="68"/>
        <v>0</v>
      </c>
      <c r="CP66" s="156">
        <f t="shared" si="68"/>
        <v>0</v>
      </c>
      <c r="CQ66" s="156">
        <f t="shared" si="68"/>
        <v>0</v>
      </c>
      <c r="CR66" s="156">
        <f t="shared" si="68"/>
        <v>0</v>
      </c>
      <c r="CS66" s="156">
        <f t="shared" si="68"/>
        <v>0</v>
      </c>
      <c r="CT66" s="156">
        <f aca="true" t="shared" si="69" ref="CT66:CY66">CT64+CT65</f>
        <v>0</v>
      </c>
      <c r="CU66" s="156">
        <f t="shared" si="69"/>
        <v>0</v>
      </c>
      <c r="CV66" s="156">
        <f t="shared" si="69"/>
        <v>0</v>
      </c>
      <c r="CW66" s="156">
        <f t="shared" si="69"/>
        <v>0</v>
      </c>
      <c r="CX66" s="156">
        <f t="shared" si="69"/>
        <v>0</v>
      </c>
      <c r="CY66" s="156">
        <f t="shared" si="69"/>
        <v>1860.8403072296626</v>
      </c>
      <c r="DA66" s="156">
        <f>MAX(B66:CY66)</f>
        <v>1870.1548068576387</v>
      </c>
      <c r="DB66" s="156">
        <f>MIN(B66:CY66)</f>
        <v>0</v>
      </c>
      <c r="DC66" s="156">
        <f>ABS(DB66)</f>
        <v>0</v>
      </c>
      <c r="DE66" s="156">
        <f>MAX(DA66,DC66)</f>
        <v>1870.1548068576387</v>
      </c>
    </row>
    <row r="68" spans="1:109" ht="11.25">
      <c r="A68" s="156" t="s">
        <v>340</v>
      </c>
      <c r="B68" s="156">
        <f>IF(B16&gt;$B$2,0,$B$9*$B$2*B16*(($B$2^3)-(3*$B$2*B16^2)+(2*B16^3))/(48*$B$7*$B$12*$B$2))*10000000</f>
        <v>0</v>
      </c>
      <c r="C68" s="156">
        <f aca="true" t="shared" si="70" ref="C68:BN68">IF(C16&gt;$B$2,0,$B$9*$B$2*C16*(($B$2^3)-(3*$B$2*C16^2)+(2*C16^3))/(48*$B$7*$B$12*$B$2))*10000000</f>
        <v>0.14003483181842558</v>
      </c>
      <c r="D68" s="156">
        <f t="shared" si="70"/>
        <v>0.2792735144519519</v>
      </c>
      <c r="E68" s="156">
        <f t="shared" si="70"/>
        <v>0.4169559755067568</v>
      </c>
      <c r="F68" s="156">
        <f t="shared" si="70"/>
        <v>0.5523614990883741</v>
      </c>
      <c r="G68" s="156">
        <f t="shared" si="70"/>
        <v>0.6848087258016945</v>
      </c>
      <c r="H68" s="156">
        <f t="shared" si="70"/>
        <v>0.813655652750965</v>
      </c>
      <c r="I68" s="156">
        <f t="shared" si="70"/>
        <v>0.9382996335397896</v>
      </c>
      <c r="J68" s="156">
        <f t="shared" si="70"/>
        <v>1.0581773782711281</v>
      </c>
      <c r="K68" s="156">
        <f t="shared" si="70"/>
        <v>1.1727649535472973</v>
      </c>
      <c r="L68" s="156">
        <f t="shared" si="70"/>
        <v>1.2815777824699695</v>
      </c>
      <c r="M68" s="156">
        <f t="shared" si="70"/>
        <v>1.3841706446401756</v>
      </c>
      <c r="N68" s="156">
        <f t="shared" si="70"/>
        <v>1.4801376761583005</v>
      </c>
      <c r="O68" s="156">
        <f t="shared" si="70"/>
        <v>1.5691123696240885</v>
      </c>
      <c r="P68" s="156">
        <f t="shared" si="70"/>
        <v>1.6507675741366363</v>
      </c>
      <c r="Q68" s="156">
        <f t="shared" si="70"/>
        <v>1.7248154952944015</v>
      </c>
      <c r="R68" s="156">
        <f t="shared" si="70"/>
        <v>1.791007695195195</v>
      </c>
      <c r="S68" s="156">
        <f t="shared" si="70"/>
        <v>1.8491350924361856</v>
      </c>
      <c r="T68" s="156">
        <f t="shared" si="70"/>
        <v>1.8990279621138997</v>
      </c>
      <c r="U68" s="156">
        <f t="shared" si="70"/>
        <v>1.9405559358242168</v>
      </c>
      <c r="V68" s="156">
        <f t="shared" si="70"/>
        <v>1.9736280016623764</v>
      </c>
      <c r="W68" s="156">
        <f t="shared" si="70"/>
        <v>1.998192504222973</v>
      </c>
      <c r="X68" s="156">
        <f t="shared" si="70"/>
        <v>2.014237144599957</v>
      </c>
      <c r="Y68" s="156">
        <f t="shared" si="70"/>
        <v>2.0217889803866362</v>
      </c>
      <c r="Z68" s="156">
        <f t="shared" si="70"/>
        <v>2.020914425675675</v>
      </c>
      <c r="AA68" s="156">
        <f t="shared" si="70"/>
        <v>2.0117192510590938</v>
      </c>
      <c r="AB68" s="156">
        <f t="shared" si="70"/>
        <v>1.9943485836282704</v>
      </c>
      <c r="AC68" s="156">
        <f t="shared" si="70"/>
        <v>1.9689869069739376</v>
      </c>
      <c r="AD68" s="156">
        <f t="shared" si="70"/>
        <v>1.935858061186186</v>
      </c>
      <c r="AE68" s="156">
        <f t="shared" si="70"/>
        <v>1.8952252428544607</v>
      </c>
      <c r="AF68" s="156">
        <f t="shared" si="70"/>
        <v>1.8473910050675666</v>
      </c>
      <c r="AG68" s="156">
        <f t="shared" si="70"/>
        <v>1.7926972574136628</v>
      </c>
      <c r="AH68" s="156">
        <f t="shared" si="70"/>
        <v>1.7315252659802653</v>
      </c>
      <c r="AI68" s="156">
        <f t="shared" si="70"/>
        <v>1.6642956533542457</v>
      </c>
      <c r="AJ68" s="156">
        <f t="shared" si="70"/>
        <v>1.5914683986218354</v>
      </c>
      <c r="AK68" s="156">
        <f t="shared" si="70"/>
        <v>1.5135428373686175</v>
      </c>
      <c r="AL68" s="156">
        <f t="shared" si="70"/>
        <v>1.4310576616795354</v>
      </c>
      <c r="AM68" s="156">
        <f t="shared" si="70"/>
        <v>1.3445909201388873</v>
      </c>
      <c r="AN68" s="156">
        <f t="shared" si="70"/>
        <v>1.2547600178303282</v>
      </c>
      <c r="AO68" s="156">
        <f t="shared" si="70"/>
        <v>1.1622217163368707</v>
      </c>
      <c r="AP68" s="156">
        <f t="shared" si="70"/>
        <v>1.0676721337408825</v>
      </c>
      <c r="AQ68" s="156">
        <f t="shared" si="70"/>
        <v>0.971846744624087</v>
      </c>
      <c r="AR68" s="156">
        <f t="shared" si="70"/>
        <v>0.875520380067566</v>
      </c>
      <c r="AS68" s="156">
        <f t="shared" si="70"/>
        <v>0.779507227651759</v>
      </c>
      <c r="AT68" s="156">
        <f t="shared" si="70"/>
        <v>0.6846608314564578</v>
      </c>
      <c r="AU68" s="156">
        <f t="shared" si="70"/>
        <v>0.5918740920608114</v>
      </c>
      <c r="AV68" s="156">
        <f t="shared" si="70"/>
        <v>0.5020792665433295</v>
      </c>
      <c r="AW68" s="156">
        <f t="shared" si="70"/>
        <v>0.4162479684818749</v>
      </c>
      <c r="AX68" s="156">
        <f t="shared" si="70"/>
        <v>0.3353911679536699</v>
      </c>
      <c r="AY68" s="156">
        <f t="shared" si="70"/>
        <v>0.2605591915352854</v>
      </c>
      <c r="AZ68" s="156">
        <f t="shared" si="70"/>
        <v>0.19284172230266253</v>
      </c>
      <c r="BA68" s="156">
        <f t="shared" si="70"/>
        <v>0.1333677998310827</v>
      </c>
      <c r="BB68" s="156">
        <f t="shared" si="70"/>
        <v>0.08330582019519682</v>
      </c>
      <c r="BC68" s="156">
        <f t="shared" si="70"/>
        <v>0.04386353596900617</v>
      </c>
      <c r="BD68" s="156">
        <f t="shared" si="70"/>
        <v>0.016288056225869884</v>
      </c>
      <c r="BE68" s="156">
        <f t="shared" si="70"/>
        <v>0.001865846538506089</v>
      </c>
      <c r="BF68" s="156">
        <f t="shared" si="70"/>
        <v>0</v>
      </c>
      <c r="BG68" s="156">
        <f t="shared" si="70"/>
        <v>0</v>
      </c>
      <c r="BH68" s="156">
        <f t="shared" si="70"/>
        <v>0</v>
      </c>
      <c r="BI68" s="156">
        <f t="shared" si="70"/>
        <v>0</v>
      </c>
      <c r="BJ68" s="156">
        <f t="shared" si="70"/>
        <v>0</v>
      </c>
      <c r="BK68" s="156">
        <f t="shared" si="70"/>
        <v>0</v>
      </c>
      <c r="BL68" s="156">
        <f t="shared" si="70"/>
        <v>0</v>
      </c>
      <c r="BM68" s="156">
        <f t="shared" si="70"/>
        <v>0</v>
      </c>
      <c r="BN68" s="156">
        <f t="shared" si="70"/>
        <v>0</v>
      </c>
      <c r="BO68" s="156">
        <f aca="true" t="shared" si="71" ref="BO68:CY68">IF(BO16&gt;$B$2,0,$B$9*$B$2*BO16*(($B$2^3)-(3*$B$2*BO16^2)+(2*BO16^3))/(48*$B$7*$B$12*$B$2))*10000000</f>
        <v>0</v>
      </c>
      <c r="BP68" s="156">
        <f t="shared" si="71"/>
        <v>0</v>
      </c>
      <c r="BQ68" s="156">
        <f t="shared" si="71"/>
        <v>0</v>
      </c>
      <c r="BR68" s="156">
        <f t="shared" si="71"/>
        <v>0</v>
      </c>
      <c r="BS68" s="156">
        <f t="shared" si="71"/>
        <v>0</v>
      </c>
      <c r="BT68" s="156">
        <f t="shared" si="71"/>
        <v>0</v>
      </c>
      <c r="BU68" s="156">
        <f t="shared" si="71"/>
        <v>0</v>
      </c>
      <c r="BV68" s="156">
        <f t="shared" si="71"/>
        <v>0</v>
      </c>
      <c r="BW68" s="156">
        <f t="shared" si="71"/>
        <v>0</v>
      </c>
      <c r="BX68" s="156">
        <f t="shared" si="71"/>
        <v>0</v>
      </c>
      <c r="BY68" s="156">
        <f t="shared" si="71"/>
        <v>0</v>
      </c>
      <c r="BZ68" s="156">
        <f t="shared" si="71"/>
        <v>0</v>
      </c>
      <c r="CA68" s="156">
        <f t="shared" si="71"/>
        <v>0</v>
      </c>
      <c r="CB68" s="156">
        <f t="shared" si="71"/>
        <v>0</v>
      </c>
      <c r="CC68" s="156">
        <f t="shared" si="71"/>
        <v>0</v>
      </c>
      <c r="CD68" s="156">
        <f t="shared" si="71"/>
        <v>0</v>
      </c>
      <c r="CE68" s="156">
        <f t="shared" si="71"/>
        <v>0</v>
      </c>
      <c r="CF68" s="156">
        <f t="shared" si="71"/>
        <v>0</v>
      </c>
      <c r="CG68" s="156">
        <f t="shared" si="71"/>
        <v>0</v>
      </c>
      <c r="CH68" s="156">
        <f t="shared" si="71"/>
        <v>0</v>
      </c>
      <c r="CI68" s="156">
        <f t="shared" si="71"/>
        <v>0</v>
      </c>
      <c r="CJ68" s="156">
        <f t="shared" si="71"/>
        <v>0</v>
      </c>
      <c r="CK68" s="156">
        <f t="shared" si="71"/>
        <v>0</v>
      </c>
      <c r="CL68" s="156">
        <f t="shared" si="71"/>
        <v>0</v>
      </c>
      <c r="CM68" s="156">
        <f t="shared" si="71"/>
        <v>0</v>
      </c>
      <c r="CN68" s="156">
        <f t="shared" si="71"/>
        <v>0</v>
      </c>
      <c r="CO68" s="156">
        <f t="shared" si="71"/>
        <v>0</v>
      </c>
      <c r="CP68" s="156">
        <f t="shared" si="71"/>
        <v>0</v>
      </c>
      <c r="CQ68" s="156">
        <f t="shared" si="71"/>
        <v>0</v>
      </c>
      <c r="CR68" s="156">
        <f t="shared" si="71"/>
        <v>0</v>
      </c>
      <c r="CS68" s="156">
        <f t="shared" si="71"/>
        <v>0</v>
      </c>
      <c r="CT68" s="156">
        <f t="shared" si="71"/>
        <v>0</v>
      </c>
      <c r="CU68" s="156">
        <f t="shared" si="71"/>
        <v>0</v>
      </c>
      <c r="CV68" s="156">
        <f t="shared" si="71"/>
        <v>0</v>
      </c>
      <c r="CW68" s="156">
        <f t="shared" si="71"/>
        <v>0</v>
      </c>
      <c r="CX68" s="156">
        <f t="shared" si="71"/>
        <v>0</v>
      </c>
      <c r="CY68" s="156">
        <f t="shared" si="71"/>
        <v>2.0117192510590947</v>
      </c>
      <c r="DA68" s="156">
        <f>MAX(B68:CY68)</f>
        <v>2.0217889803866362</v>
      </c>
      <c r="DB68" s="156">
        <f>MIN(B68:CY68)</f>
        <v>0</v>
      </c>
      <c r="DC68" s="156">
        <f>ABS(DB68)</f>
        <v>0</v>
      </c>
      <c r="DE68" s="156">
        <f>MAX(DA68,DC68)</f>
        <v>2.0217889803866362</v>
      </c>
    </row>
    <row r="69" spans="1:109" ht="11.25">
      <c r="A69" s="160" t="s">
        <v>341</v>
      </c>
      <c r="B69" s="156">
        <f>IF($B$5=0,0,IF(B16&gt;$B$2,0,IF(B16&lt;=$B$5,-$I$3*((B16^3/6)-($I$9*B16))/($B$7*$B$12)*10000000,-$I$3*((B16^3/6)-($I$9*B16))/($B$7*$B$12)*10000000+($B$10*10000000/($B$7*$B$12)*((B16^3/6)-(B16^2*$B$5/2)+($I$10*B16)+($I$11))))))</f>
        <v>0</v>
      </c>
      <c r="C69" s="156">
        <f aca="true" t="shared" si="72" ref="C69:BN69">IF($B$5=0,0,IF(C16&gt;$B$2,0,IF(C16&lt;=$B$5,-$I$3*((C16^3/6)-($I$9*C16))/($B$7*$B$12)*10000000,-$I$3*((C16^3/6)-($I$9*C16))/($B$7*$B$12)*10000000+($B$10*10000000/($B$7*$B$12)*((C16^3/6)-(C16^2*$B$5/2)+($I$10*C16)+($I$11))))))</f>
        <v>0</v>
      </c>
      <c r="D69" s="156">
        <f t="shared" si="72"/>
        <v>0</v>
      </c>
      <c r="E69" s="156">
        <f t="shared" si="72"/>
        <v>0</v>
      </c>
      <c r="F69" s="156">
        <f t="shared" si="72"/>
        <v>0</v>
      </c>
      <c r="G69" s="156">
        <f t="shared" si="72"/>
        <v>0</v>
      </c>
      <c r="H69" s="156">
        <f t="shared" si="72"/>
        <v>0</v>
      </c>
      <c r="I69" s="156">
        <f t="shared" si="72"/>
        <v>0</v>
      </c>
      <c r="J69" s="156">
        <f t="shared" si="72"/>
        <v>0</v>
      </c>
      <c r="K69" s="156">
        <f t="shared" si="72"/>
        <v>0</v>
      </c>
      <c r="L69" s="156">
        <f t="shared" si="72"/>
        <v>0</v>
      </c>
      <c r="M69" s="156">
        <f t="shared" si="72"/>
        <v>0</v>
      </c>
      <c r="N69" s="156">
        <f t="shared" si="72"/>
        <v>0</v>
      </c>
      <c r="O69" s="156">
        <f t="shared" si="72"/>
        <v>0</v>
      </c>
      <c r="P69" s="156">
        <f t="shared" si="72"/>
        <v>0</v>
      </c>
      <c r="Q69" s="156">
        <f t="shared" si="72"/>
        <v>0</v>
      </c>
      <c r="R69" s="156">
        <f t="shared" si="72"/>
        <v>0</v>
      </c>
      <c r="S69" s="156">
        <f t="shared" si="72"/>
        <v>0</v>
      </c>
      <c r="T69" s="156">
        <f t="shared" si="72"/>
        <v>0</v>
      </c>
      <c r="U69" s="156">
        <f t="shared" si="72"/>
        <v>0</v>
      </c>
      <c r="V69" s="156">
        <f t="shared" si="72"/>
        <v>0</v>
      </c>
      <c r="W69" s="156">
        <f t="shared" si="72"/>
        <v>0</v>
      </c>
      <c r="X69" s="156">
        <f t="shared" si="72"/>
        <v>0</v>
      </c>
      <c r="Y69" s="156">
        <f t="shared" si="72"/>
        <v>0</v>
      </c>
      <c r="Z69" s="156">
        <f t="shared" si="72"/>
        <v>0</v>
      </c>
      <c r="AA69" s="156">
        <f t="shared" si="72"/>
        <v>0</v>
      </c>
      <c r="AB69" s="156">
        <f t="shared" si="72"/>
        <v>0</v>
      </c>
      <c r="AC69" s="156">
        <f t="shared" si="72"/>
        <v>0</v>
      </c>
      <c r="AD69" s="156">
        <f t="shared" si="72"/>
        <v>0</v>
      </c>
      <c r="AE69" s="156">
        <f t="shared" si="72"/>
        <v>0</v>
      </c>
      <c r="AF69" s="156">
        <f t="shared" si="72"/>
        <v>0</v>
      </c>
      <c r="AG69" s="156">
        <f t="shared" si="72"/>
        <v>0</v>
      </c>
      <c r="AH69" s="156">
        <f t="shared" si="72"/>
        <v>0</v>
      </c>
      <c r="AI69" s="156">
        <f t="shared" si="72"/>
        <v>0</v>
      </c>
      <c r="AJ69" s="156">
        <f t="shared" si="72"/>
        <v>0</v>
      </c>
      <c r="AK69" s="156">
        <f t="shared" si="72"/>
        <v>0</v>
      </c>
      <c r="AL69" s="156">
        <f t="shared" si="72"/>
        <v>0</v>
      </c>
      <c r="AM69" s="156">
        <f t="shared" si="72"/>
        <v>0</v>
      </c>
      <c r="AN69" s="156">
        <f t="shared" si="72"/>
        <v>0</v>
      </c>
      <c r="AO69" s="156">
        <f t="shared" si="72"/>
        <v>0</v>
      </c>
      <c r="AP69" s="156">
        <f t="shared" si="72"/>
        <v>0</v>
      </c>
      <c r="AQ69" s="156">
        <f t="shared" si="72"/>
        <v>0</v>
      </c>
      <c r="AR69" s="156">
        <f t="shared" si="72"/>
        <v>0</v>
      </c>
      <c r="AS69" s="156">
        <f t="shared" si="72"/>
        <v>0</v>
      </c>
      <c r="AT69" s="156">
        <f t="shared" si="72"/>
        <v>0</v>
      </c>
      <c r="AU69" s="156">
        <f t="shared" si="72"/>
        <v>0</v>
      </c>
      <c r="AV69" s="156">
        <f t="shared" si="72"/>
        <v>0</v>
      </c>
      <c r="AW69" s="156">
        <f t="shared" si="72"/>
        <v>0</v>
      </c>
      <c r="AX69" s="156">
        <f t="shared" si="72"/>
        <v>0</v>
      </c>
      <c r="AY69" s="156">
        <f t="shared" si="72"/>
        <v>0</v>
      </c>
      <c r="AZ69" s="156">
        <f t="shared" si="72"/>
        <v>0</v>
      </c>
      <c r="BA69" s="156">
        <f t="shared" si="72"/>
        <v>0</v>
      </c>
      <c r="BB69" s="156">
        <f t="shared" si="72"/>
        <v>0</v>
      </c>
      <c r="BC69" s="156">
        <f t="shared" si="72"/>
        <v>0</v>
      </c>
      <c r="BD69" s="156">
        <f t="shared" si="72"/>
        <v>0</v>
      </c>
      <c r="BE69" s="156">
        <f t="shared" si="72"/>
        <v>0</v>
      </c>
      <c r="BF69" s="156">
        <f t="shared" si="72"/>
        <v>0</v>
      </c>
      <c r="BG69" s="156">
        <f t="shared" si="72"/>
        <v>0</v>
      </c>
      <c r="BH69" s="156">
        <f t="shared" si="72"/>
        <v>0</v>
      </c>
      <c r="BI69" s="156">
        <f t="shared" si="72"/>
        <v>0</v>
      </c>
      <c r="BJ69" s="156">
        <f t="shared" si="72"/>
        <v>0</v>
      </c>
      <c r="BK69" s="156">
        <f t="shared" si="72"/>
        <v>0</v>
      </c>
      <c r="BL69" s="156">
        <f t="shared" si="72"/>
        <v>0</v>
      </c>
      <c r="BM69" s="156">
        <f t="shared" si="72"/>
        <v>0</v>
      </c>
      <c r="BN69" s="156">
        <f t="shared" si="72"/>
        <v>0</v>
      </c>
      <c r="BO69" s="156">
        <f aca="true" t="shared" si="73" ref="BO69:CY69">IF($B$5=0,0,IF(BO16&gt;$B$2,0,IF(BO16&lt;=$B$5,-$I$3*((BO16^3/6)-($I$9*BO16))/($B$7*$B$12)*10000000,-$I$3*((BO16^3/6)-($I$9*BO16))/($B$7*$B$12)*10000000+($B$10*10000000/($B$7*$B$12)*((BO16^3/6)-(BO16^2*$B$5/2)+($I$10*BO16)+($I$11))))))</f>
        <v>0</v>
      </c>
      <c r="BP69" s="156">
        <f t="shared" si="73"/>
        <v>0</v>
      </c>
      <c r="BQ69" s="156">
        <f t="shared" si="73"/>
        <v>0</v>
      </c>
      <c r="BR69" s="156">
        <f t="shared" si="73"/>
        <v>0</v>
      </c>
      <c r="BS69" s="156">
        <f t="shared" si="73"/>
        <v>0</v>
      </c>
      <c r="BT69" s="156">
        <f t="shared" si="73"/>
        <v>0</v>
      </c>
      <c r="BU69" s="156">
        <f t="shared" si="73"/>
        <v>0</v>
      </c>
      <c r="BV69" s="156">
        <f t="shared" si="73"/>
        <v>0</v>
      </c>
      <c r="BW69" s="156">
        <f t="shared" si="73"/>
        <v>0</v>
      </c>
      <c r="BX69" s="156">
        <f t="shared" si="73"/>
        <v>0</v>
      </c>
      <c r="BY69" s="156">
        <f t="shared" si="73"/>
        <v>0</v>
      </c>
      <c r="BZ69" s="156">
        <f t="shared" si="73"/>
        <v>0</v>
      </c>
      <c r="CA69" s="156">
        <f t="shared" si="73"/>
        <v>0</v>
      </c>
      <c r="CB69" s="156">
        <f t="shared" si="73"/>
        <v>0</v>
      </c>
      <c r="CC69" s="156">
        <f t="shared" si="73"/>
        <v>0</v>
      </c>
      <c r="CD69" s="156">
        <f t="shared" si="73"/>
        <v>0</v>
      </c>
      <c r="CE69" s="156">
        <f t="shared" si="73"/>
        <v>0</v>
      </c>
      <c r="CF69" s="156">
        <f t="shared" si="73"/>
        <v>0</v>
      </c>
      <c r="CG69" s="156">
        <f t="shared" si="73"/>
        <v>0</v>
      </c>
      <c r="CH69" s="156">
        <f t="shared" si="73"/>
        <v>0</v>
      </c>
      <c r="CI69" s="156">
        <f t="shared" si="73"/>
        <v>0</v>
      </c>
      <c r="CJ69" s="156">
        <f t="shared" si="73"/>
        <v>0</v>
      </c>
      <c r="CK69" s="156">
        <f t="shared" si="73"/>
        <v>0</v>
      </c>
      <c r="CL69" s="156">
        <f t="shared" si="73"/>
        <v>0</v>
      </c>
      <c r="CM69" s="156">
        <f t="shared" si="73"/>
        <v>0</v>
      </c>
      <c r="CN69" s="156">
        <f t="shared" si="73"/>
        <v>0</v>
      </c>
      <c r="CO69" s="156">
        <f t="shared" si="73"/>
        <v>0</v>
      </c>
      <c r="CP69" s="156">
        <f t="shared" si="73"/>
        <v>0</v>
      </c>
      <c r="CQ69" s="156">
        <f t="shared" si="73"/>
        <v>0</v>
      </c>
      <c r="CR69" s="156">
        <f t="shared" si="73"/>
        <v>0</v>
      </c>
      <c r="CS69" s="156">
        <f t="shared" si="73"/>
        <v>0</v>
      </c>
      <c r="CT69" s="156">
        <f t="shared" si="73"/>
        <v>0</v>
      </c>
      <c r="CU69" s="156">
        <f t="shared" si="73"/>
        <v>0</v>
      </c>
      <c r="CV69" s="156">
        <f t="shared" si="73"/>
        <v>0</v>
      </c>
      <c r="CW69" s="156">
        <f t="shared" si="73"/>
        <v>0</v>
      </c>
      <c r="CX69" s="156">
        <f t="shared" si="73"/>
        <v>0</v>
      </c>
      <c r="CY69" s="156">
        <f t="shared" si="73"/>
        <v>0</v>
      </c>
      <c r="DA69" s="156">
        <f>MAX(B69:CY69)</f>
        <v>0</v>
      </c>
      <c r="DB69" s="156">
        <f>MIN(B69:CY69)</f>
        <v>0</v>
      </c>
      <c r="DC69" s="156">
        <f>ABS(DB69)</f>
        <v>0</v>
      </c>
      <c r="DE69" s="156">
        <f>MAX(DA69,DC69)</f>
        <v>0</v>
      </c>
    </row>
    <row r="70" spans="1:109" ht="11.25">
      <c r="A70" s="156" t="s">
        <v>75</v>
      </c>
      <c r="B70" s="156">
        <f aca="true" t="shared" si="74" ref="B70:AG70">B68+B69</f>
        <v>0</v>
      </c>
      <c r="C70" s="156">
        <f t="shared" si="74"/>
        <v>0.14003483181842558</v>
      </c>
      <c r="D70" s="156">
        <f t="shared" si="74"/>
        <v>0.2792735144519519</v>
      </c>
      <c r="E70" s="156">
        <f t="shared" si="74"/>
        <v>0.4169559755067568</v>
      </c>
      <c r="F70" s="156">
        <f t="shared" si="74"/>
        <v>0.5523614990883741</v>
      </c>
      <c r="G70" s="156">
        <f t="shared" si="74"/>
        <v>0.6848087258016945</v>
      </c>
      <c r="H70" s="156">
        <f t="shared" si="74"/>
        <v>0.813655652750965</v>
      </c>
      <c r="I70" s="156">
        <f t="shared" si="74"/>
        <v>0.9382996335397896</v>
      </c>
      <c r="J70" s="156">
        <f t="shared" si="74"/>
        <v>1.0581773782711281</v>
      </c>
      <c r="K70" s="156">
        <f t="shared" si="74"/>
        <v>1.1727649535472973</v>
      </c>
      <c r="L70" s="156">
        <f t="shared" si="74"/>
        <v>1.2815777824699695</v>
      </c>
      <c r="M70" s="156">
        <f t="shared" si="74"/>
        <v>1.3841706446401756</v>
      </c>
      <c r="N70" s="156">
        <f t="shared" si="74"/>
        <v>1.4801376761583005</v>
      </c>
      <c r="O70" s="156">
        <f t="shared" si="74"/>
        <v>1.5691123696240885</v>
      </c>
      <c r="P70" s="156">
        <f t="shared" si="74"/>
        <v>1.6507675741366363</v>
      </c>
      <c r="Q70" s="156">
        <f t="shared" si="74"/>
        <v>1.7248154952944015</v>
      </c>
      <c r="R70" s="156">
        <f t="shared" si="74"/>
        <v>1.791007695195195</v>
      </c>
      <c r="S70" s="156">
        <f t="shared" si="74"/>
        <v>1.8491350924361856</v>
      </c>
      <c r="T70" s="156">
        <f t="shared" si="74"/>
        <v>1.8990279621138997</v>
      </c>
      <c r="U70" s="156">
        <f t="shared" si="74"/>
        <v>1.9405559358242168</v>
      </c>
      <c r="V70" s="156">
        <f t="shared" si="74"/>
        <v>1.9736280016623764</v>
      </c>
      <c r="W70" s="156">
        <f t="shared" si="74"/>
        <v>1.998192504222973</v>
      </c>
      <c r="X70" s="156">
        <f t="shared" si="74"/>
        <v>2.014237144599957</v>
      </c>
      <c r="Y70" s="156">
        <f t="shared" si="74"/>
        <v>2.0217889803866362</v>
      </c>
      <c r="Z70" s="156">
        <f t="shared" si="74"/>
        <v>2.020914425675675</v>
      </c>
      <c r="AA70" s="156">
        <f t="shared" si="74"/>
        <v>2.0117192510590938</v>
      </c>
      <c r="AB70" s="156">
        <f t="shared" si="74"/>
        <v>1.9943485836282704</v>
      </c>
      <c r="AC70" s="156">
        <f t="shared" si="74"/>
        <v>1.9689869069739376</v>
      </c>
      <c r="AD70" s="156">
        <f t="shared" si="74"/>
        <v>1.935858061186186</v>
      </c>
      <c r="AE70" s="156">
        <f t="shared" si="74"/>
        <v>1.8952252428544607</v>
      </c>
      <c r="AF70" s="156">
        <f t="shared" si="74"/>
        <v>1.8473910050675666</v>
      </c>
      <c r="AG70" s="156">
        <f t="shared" si="74"/>
        <v>1.7926972574136628</v>
      </c>
      <c r="AH70" s="156">
        <f aca="true" t="shared" si="75" ref="AH70:BM70">AH68+AH69</f>
        <v>1.7315252659802653</v>
      </c>
      <c r="AI70" s="156">
        <f t="shared" si="75"/>
        <v>1.6642956533542457</v>
      </c>
      <c r="AJ70" s="156">
        <f t="shared" si="75"/>
        <v>1.5914683986218354</v>
      </c>
      <c r="AK70" s="156">
        <f t="shared" si="75"/>
        <v>1.5135428373686175</v>
      </c>
      <c r="AL70" s="156">
        <f t="shared" si="75"/>
        <v>1.4310576616795354</v>
      </c>
      <c r="AM70" s="156">
        <f t="shared" si="75"/>
        <v>1.3445909201388873</v>
      </c>
      <c r="AN70" s="156">
        <f t="shared" si="75"/>
        <v>1.2547600178303282</v>
      </c>
      <c r="AO70" s="156">
        <f t="shared" si="75"/>
        <v>1.1622217163368707</v>
      </c>
      <c r="AP70" s="156">
        <f t="shared" si="75"/>
        <v>1.0676721337408825</v>
      </c>
      <c r="AQ70" s="156">
        <f t="shared" si="75"/>
        <v>0.971846744624087</v>
      </c>
      <c r="AR70" s="156">
        <f t="shared" si="75"/>
        <v>0.875520380067566</v>
      </c>
      <c r="AS70" s="156">
        <f t="shared" si="75"/>
        <v>0.779507227651759</v>
      </c>
      <c r="AT70" s="156">
        <f t="shared" si="75"/>
        <v>0.6846608314564578</v>
      </c>
      <c r="AU70" s="156">
        <f t="shared" si="75"/>
        <v>0.5918740920608114</v>
      </c>
      <c r="AV70" s="156">
        <f t="shared" si="75"/>
        <v>0.5020792665433295</v>
      </c>
      <c r="AW70" s="156">
        <f t="shared" si="75"/>
        <v>0.4162479684818749</v>
      </c>
      <c r="AX70" s="156">
        <f t="shared" si="75"/>
        <v>0.3353911679536699</v>
      </c>
      <c r="AY70" s="156">
        <f t="shared" si="75"/>
        <v>0.2605591915352854</v>
      </c>
      <c r="AZ70" s="156">
        <f t="shared" si="75"/>
        <v>0.19284172230266253</v>
      </c>
      <c r="BA70" s="156">
        <f t="shared" si="75"/>
        <v>0.1333677998310827</v>
      </c>
      <c r="BB70" s="156">
        <f t="shared" si="75"/>
        <v>0.08330582019519682</v>
      </c>
      <c r="BC70" s="156">
        <f t="shared" si="75"/>
        <v>0.04386353596900617</v>
      </c>
      <c r="BD70" s="156">
        <f t="shared" si="75"/>
        <v>0.016288056225869884</v>
      </c>
      <c r="BE70" s="156">
        <f t="shared" si="75"/>
        <v>0.001865846538506089</v>
      </c>
      <c r="BF70" s="156">
        <f t="shared" si="75"/>
        <v>0</v>
      </c>
      <c r="BG70" s="156">
        <f t="shared" si="75"/>
        <v>0</v>
      </c>
      <c r="BH70" s="156">
        <f t="shared" si="75"/>
        <v>0</v>
      </c>
      <c r="BI70" s="156">
        <f t="shared" si="75"/>
        <v>0</v>
      </c>
      <c r="BJ70" s="156">
        <f t="shared" si="75"/>
        <v>0</v>
      </c>
      <c r="BK70" s="156">
        <f t="shared" si="75"/>
        <v>0</v>
      </c>
      <c r="BL70" s="156">
        <f t="shared" si="75"/>
        <v>0</v>
      </c>
      <c r="BM70" s="156">
        <f t="shared" si="75"/>
        <v>0</v>
      </c>
      <c r="BN70" s="156">
        <f aca="true" t="shared" si="76" ref="BN70:CS70">BN68+BN69</f>
        <v>0</v>
      </c>
      <c r="BO70" s="156">
        <f t="shared" si="76"/>
        <v>0</v>
      </c>
      <c r="BP70" s="156">
        <f t="shared" si="76"/>
        <v>0</v>
      </c>
      <c r="BQ70" s="156">
        <f t="shared" si="76"/>
        <v>0</v>
      </c>
      <c r="BR70" s="156">
        <f t="shared" si="76"/>
        <v>0</v>
      </c>
      <c r="BS70" s="156">
        <f t="shared" si="76"/>
        <v>0</v>
      </c>
      <c r="BT70" s="156">
        <f t="shared" si="76"/>
        <v>0</v>
      </c>
      <c r="BU70" s="156">
        <f t="shared" si="76"/>
        <v>0</v>
      </c>
      <c r="BV70" s="156">
        <f t="shared" si="76"/>
        <v>0</v>
      </c>
      <c r="BW70" s="156">
        <f t="shared" si="76"/>
        <v>0</v>
      </c>
      <c r="BX70" s="156">
        <f t="shared" si="76"/>
        <v>0</v>
      </c>
      <c r="BY70" s="156">
        <f t="shared" si="76"/>
        <v>0</v>
      </c>
      <c r="BZ70" s="156">
        <f t="shared" si="76"/>
        <v>0</v>
      </c>
      <c r="CA70" s="156">
        <f t="shared" si="76"/>
        <v>0</v>
      </c>
      <c r="CB70" s="156">
        <f t="shared" si="76"/>
        <v>0</v>
      </c>
      <c r="CC70" s="156">
        <f t="shared" si="76"/>
        <v>0</v>
      </c>
      <c r="CD70" s="156">
        <f t="shared" si="76"/>
        <v>0</v>
      </c>
      <c r="CE70" s="156">
        <f t="shared" si="76"/>
        <v>0</v>
      </c>
      <c r="CF70" s="156">
        <f t="shared" si="76"/>
        <v>0</v>
      </c>
      <c r="CG70" s="156">
        <f t="shared" si="76"/>
        <v>0</v>
      </c>
      <c r="CH70" s="156">
        <f t="shared" si="76"/>
        <v>0</v>
      </c>
      <c r="CI70" s="156">
        <f t="shared" si="76"/>
        <v>0</v>
      </c>
      <c r="CJ70" s="156">
        <f t="shared" si="76"/>
        <v>0</v>
      </c>
      <c r="CK70" s="156">
        <f t="shared" si="76"/>
        <v>0</v>
      </c>
      <c r="CL70" s="156">
        <f t="shared" si="76"/>
        <v>0</v>
      </c>
      <c r="CM70" s="156">
        <f t="shared" si="76"/>
        <v>0</v>
      </c>
      <c r="CN70" s="156">
        <f t="shared" si="76"/>
        <v>0</v>
      </c>
      <c r="CO70" s="156">
        <f t="shared" si="76"/>
        <v>0</v>
      </c>
      <c r="CP70" s="156">
        <f t="shared" si="76"/>
        <v>0</v>
      </c>
      <c r="CQ70" s="156">
        <f t="shared" si="76"/>
        <v>0</v>
      </c>
      <c r="CR70" s="156">
        <f t="shared" si="76"/>
        <v>0</v>
      </c>
      <c r="CS70" s="156">
        <f t="shared" si="76"/>
        <v>0</v>
      </c>
      <c r="CT70" s="156">
        <f aca="true" t="shared" si="77" ref="CT70:CY70">CT68+CT69</f>
        <v>0</v>
      </c>
      <c r="CU70" s="156">
        <f t="shared" si="77"/>
        <v>0</v>
      </c>
      <c r="CV70" s="156">
        <f t="shared" si="77"/>
        <v>0</v>
      </c>
      <c r="CW70" s="156">
        <f t="shared" si="77"/>
        <v>0</v>
      </c>
      <c r="CX70" s="156">
        <f t="shared" si="77"/>
        <v>0</v>
      </c>
      <c r="CY70" s="156">
        <f t="shared" si="77"/>
        <v>2.0117192510590947</v>
      </c>
      <c r="DA70" s="156">
        <f>MAX(B70:CY70)</f>
        <v>2.0217889803866362</v>
      </c>
      <c r="DB70" s="156">
        <f>MIN(B70:CY70)</f>
        <v>0</v>
      </c>
      <c r="DC70" s="156">
        <f>ABS(DB70)</f>
        <v>0</v>
      </c>
      <c r="DE70" s="156">
        <f>MAX(DA70,DC70)</f>
        <v>2.0217889803866362</v>
      </c>
    </row>
    <row r="72" spans="1:105" ht="11.25">
      <c r="A72" s="157" t="s">
        <v>144</v>
      </c>
      <c r="DA72" s="157" t="s">
        <v>144</v>
      </c>
    </row>
    <row r="74" spans="1:109" ht="11.25">
      <c r="A74" s="156" t="s">
        <v>317</v>
      </c>
      <c r="B74" s="156">
        <f>IF(B16&gt;$B$2,0,-$B$3*$B$2*($B$2-B16)^2/(2*$B$2))</f>
        <v>-147.71916421875</v>
      </c>
      <c r="C74" s="156">
        <f aca="true" t="shared" si="78" ref="C74:BN74">IF(C16&gt;$B$2,0,-$B$3*$B$2*($B$2-C16)^2/(2*$B$2))</f>
        <v>-142.44390796875</v>
      </c>
      <c r="D74" s="156">
        <f t="shared" si="78"/>
        <v>-137.26456546875</v>
      </c>
      <c r="E74" s="156">
        <f t="shared" si="78"/>
        <v>-132.18113671875</v>
      </c>
      <c r="F74" s="156">
        <f t="shared" si="78"/>
        <v>-127.19362171874998</v>
      </c>
      <c r="G74" s="156">
        <f t="shared" si="78"/>
        <v>-122.30202046875</v>
      </c>
      <c r="H74" s="156">
        <f t="shared" si="78"/>
        <v>-117.50633296875002</v>
      </c>
      <c r="I74" s="156">
        <f t="shared" si="78"/>
        <v>-112.80655921875</v>
      </c>
      <c r="J74" s="156">
        <f t="shared" si="78"/>
        <v>-108.20269921875</v>
      </c>
      <c r="K74" s="156">
        <f t="shared" si="78"/>
        <v>-103.69475296875002</v>
      </c>
      <c r="L74" s="156">
        <f t="shared" si="78"/>
        <v>-99.28272046874999</v>
      </c>
      <c r="M74" s="156">
        <f t="shared" si="78"/>
        <v>-94.96660171875001</v>
      </c>
      <c r="N74" s="156">
        <f t="shared" si="78"/>
        <v>-90.74639671874999</v>
      </c>
      <c r="O74" s="156">
        <f t="shared" si="78"/>
        <v>-86.62210546875001</v>
      </c>
      <c r="P74" s="156">
        <f t="shared" si="78"/>
        <v>-82.59372796874999</v>
      </c>
      <c r="Q74" s="156">
        <f t="shared" si="78"/>
        <v>-78.66126421875</v>
      </c>
      <c r="R74" s="156">
        <f t="shared" si="78"/>
        <v>-74.82471421874997</v>
      </c>
      <c r="S74" s="156">
        <f t="shared" si="78"/>
        <v>-71.08407796875</v>
      </c>
      <c r="T74" s="156">
        <f t="shared" si="78"/>
        <v>-67.43935546874997</v>
      </c>
      <c r="U74" s="156">
        <f t="shared" si="78"/>
        <v>-63.89054671874999</v>
      </c>
      <c r="V74" s="156">
        <f t="shared" si="78"/>
        <v>-60.43765171874998</v>
      </c>
      <c r="W74" s="156">
        <f t="shared" si="78"/>
        <v>-57.08067046874998</v>
      </c>
      <c r="X74" s="156">
        <f t="shared" si="78"/>
        <v>-53.81960296874998</v>
      </c>
      <c r="Y74" s="156">
        <f t="shared" si="78"/>
        <v>-50.654449218749974</v>
      </c>
      <c r="Z74" s="156">
        <f t="shared" si="78"/>
        <v>-47.585209218749974</v>
      </c>
      <c r="AA74" s="156">
        <f t="shared" si="78"/>
        <v>-44.611882968749974</v>
      </c>
      <c r="AB74" s="156">
        <f t="shared" si="78"/>
        <v>-41.73447046874997</v>
      </c>
      <c r="AC74" s="156">
        <f t="shared" si="78"/>
        <v>-38.95297171874997</v>
      </c>
      <c r="AD74" s="156">
        <f t="shared" si="78"/>
        <v>-36.26738671874997</v>
      </c>
      <c r="AE74" s="156">
        <f t="shared" si="78"/>
        <v>-33.677715468749966</v>
      </c>
      <c r="AF74" s="156">
        <f t="shared" si="78"/>
        <v>-31.18395796874996</v>
      </c>
      <c r="AG74" s="156">
        <f t="shared" si="78"/>
        <v>-28.786114218749965</v>
      </c>
      <c r="AH74" s="156">
        <f t="shared" si="78"/>
        <v>-26.484184218749967</v>
      </c>
      <c r="AI74" s="156">
        <f t="shared" si="78"/>
        <v>-24.278167968749962</v>
      </c>
      <c r="AJ74" s="156">
        <f t="shared" si="78"/>
        <v>-22.168065468749962</v>
      </c>
      <c r="AK74" s="156">
        <f t="shared" si="78"/>
        <v>-20.153876718749963</v>
      </c>
      <c r="AL74" s="156">
        <f t="shared" si="78"/>
        <v>-18.235601718749965</v>
      </c>
      <c r="AM74" s="156">
        <f t="shared" si="78"/>
        <v>-16.413240468749965</v>
      </c>
      <c r="AN74" s="156">
        <f t="shared" si="78"/>
        <v>-14.686792968749964</v>
      </c>
      <c r="AO74" s="156">
        <f t="shared" si="78"/>
        <v>-13.056259218749966</v>
      </c>
      <c r="AP74" s="156">
        <f t="shared" si="78"/>
        <v>-11.521639218749973</v>
      </c>
      <c r="AQ74" s="156">
        <f t="shared" si="78"/>
        <v>-10.082932968749978</v>
      </c>
      <c r="AR74" s="156">
        <f t="shared" si="78"/>
        <v>-8.740140468749985</v>
      </c>
      <c r="AS74" s="156">
        <f t="shared" si="78"/>
        <v>-7.493261718749991</v>
      </c>
      <c r="AT74" s="156">
        <f t="shared" si="78"/>
        <v>-6.342296718749994</v>
      </c>
      <c r="AU74" s="156">
        <f t="shared" si="78"/>
        <v>-5.287245468749998</v>
      </c>
      <c r="AV74" s="156">
        <f t="shared" si="78"/>
        <v>-4.328107968750002</v>
      </c>
      <c r="AW74" s="156">
        <f t="shared" si="78"/>
        <v>-3.464884218750005</v>
      </c>
      <c r="AX74" s="156">
        <f t="shared" si="78"/>
        <v>-2.6975742187500065</v>
      </c>
      <c r="AY74" s="156">
        <f t="shared" si="78"/>
        <v>-2.026177968750008</v>
      </c>
      <c r="AZ74" s="156">
        <f t="shared" si="78"/>
        <v>-1.4506954687500087</v>
      </c>
      <c r="BA74" s="156">
        <f t="shared" si="78"/>
        <v>-0.9711267187500086</v>
      </c>
      <c r="BB74" s="156">
        <f t="shared" si="78"/>
        <v>-0.5874717187500078</v>
      </c>
      <c r="BC74" s="156">
        <f t="shared" si="78"/>
        <v>-0.2997304687500064</v>
      </c>
      <c r="BD74" s="156">
        <f t="shared" si="78"/>
        <v>-0.10790296875000434</v>
      </c>
      <c r="BE74" s="156">
        <f t="shared" si="78"/>
        <v>-0.01198921875000162</v>
      </c>
      <c r="BF74" s="156">
        <f t="shared" si="78"/>
        <v>0</v>
      </c>
      <c r="BG74" s="156">
        <f t="shared" si="78"/>
        <v>0</v>
      </c>
      <c r="BH74" s="156">
        <f t="shared" si="78"/>
        <v>0</v>
      </c>
      <c r="BI74" s="156">
        <f t="shared" si="78"/>
        <v>0</v>
      </c>
      <c r="BJ74" s="156">
        <f t="shared" si="78"/>
        <v>0</v>
      </c>
      <c r="BK74" s="156">
        <f t="shared" si="78"/>
        <v>0</v>
      </c>
      <c r="BL74" s="156">
        <f t="shared" si="78"/>
        <v>0</v>
      </c>
      <c r="BM74" s="156">
        <f t="shared" si="78"/>
        <v>0</v>
      </c>
      <c r="BN74" s="156">
        <f t="shared" si="78"/>
        <v>0</v>
      </c>
      <c r="BO74" s="156">
        <f aca="true" t="shared" si="79" ref="BO74:CY74">IF(BO16&gt;$B$2,0,-$B$3*$B$2*($B$2-BO16)^2/(2*$B$2))</f>
        <v>0</v>
      </c>
      <c r="BP74" s="156">
        <f t="shared" si="79"/>
        <v>0</v>
      </c>
      <c r="BQ74" s="156">
        <f t="shared" si="79"/>
        <v>0</v>
      </c>
      <c r="BR74" s="156">
        <f t="shared" si="79"/>
        <v>0</v>
      </c>
      <c r="BS74" s="156">
        <f t="shared" si="79"/>
        <v>0</v>
      </c>
      <c r="BT74" s="156">
        <f t="shared" si="79"/>
        <v>0</v>
      </c>
      <c r="BU74" s="156">
        <f t="shared" si="79"/>
        <v>0</v>
      </c>
      <c r="BV74" s="156">
        <f t="shared" si="79"/>
        <v>0</v>
      </c>
      <c r="BW74" s="156">
        <f t="shared" si="79"/>
        <v>0</v>
      </c>
      <c r="BX74" s="156">
        <f t="shared" si="79"/>
        <v>0</v>
      </c>
      <c r="BY74" s="156">
        <f t="shared" si="79"/>
        <v>0</v>
      </c>
      <c r="BZ74" s="156">
        <f t="shared" si="79"/>
        <v>0</v>
      </c>
      <c r="CA74" s="156">
        <f t="shared" si="79"/>
        <v>0</v>
      </c>
      <c r="CB74" s="156">
        <f t="shared" si="79"/>
        <v>0</v>
      </c>
      <c r="CC74" s="156">
        <f t="shared" si="79"/>
        <v>0</v>
      </c>
      <c r="CD74" s="156">
        <f t="shared" si="79"/>
        <v>0</v>
      </c>
      <c r="CE74" s="156">
        <f t="shared" si="79"/>
        <v>0</v>
      </c>
      <c r="CF74" s="156">
        <f t="shared" si="79"/>
        <v>0</v>
      </c>
      <c r="CG74" s="156">
        <f t="shared" si="79"/>
        <v>0</v>
      </c>
      <c r="CH74" s="156">
        <f t="shared" si="79"/>
        <v>0</v>
      </c>
      <c r="CI74" s="156">
        <f t="shared" si="79"/>
        <v>0</v>
      </c>
      <c r="CJ74" s="156">
        <f t="shared" si="79"/>
        <v>0</v>
      </c>
      <c r="CK74" s="156">
        <f t="shared" si="79"/>
        <v>0</v>
      </c>
      <c r="CL74" s="156">
        <f t="shared" si="79"/>
        <v>0</v>
      </c>
      <c r="CM74" s="156">
        <f t="shared" si="79"/>
        <v>0</v>
      </c>
      <c r="CN74" s="156">
        <f t="shared" si="79"/>
        <v>0</v>
      </c>
      <c r="CO74" s="156">
        <f t="shared" si="79"/>
        <v>0</v>
      </c>
      <c r="CP74" s="156">
        <f t="shared" si="79"/>
        <v>0</v>
      </c>
      <c r="CQ74" s="156">
        <f t="shared" si="79"/>
        <v>0</v>
      </c>
      <c r="CR74" s="156">
        <f t="shared" si="79"/>
        <v>0</v>
      </c>
      <c r="CS74" s="156">
        <f t="shared" si="79"/>
        <v>0</v>
      </c>
      <c r="CT74" s="156">
        <f t="shared" si="79"/>
        <v>0</v>
      </c>
      <c r="CU74" s="156">
        <f t="shared" si="79"/>
        <v>0</v>
      </c>
      <c r="CV74" s="156">
        <f t="shared" si="79"/>
        <v>0</v>
      </c>
      <c r="CW74" s="156">
        <f t="shared" si="79"/>
        <v>0</v>
      </c>
      <c r="CX74" s="156">
        <f t="shared" si="79"/>
        <v>0</v>
      </c>
      <c r="CY74" s="156">
        <f t="shared" si="79"/>
        <v>-44.611882968749995</v>
      </c>
      <c r="DA74" s="156">
        <f>MAX(B74:CY74)</f>
        <v>0</v>
      </c>
      <c r="DB74" s="156">
        <f>MIN(B74:CY74)</f>
        <v>-147.71916421875</v>
      </c>
      <c r="DC74" s="156">
        <f>ABS(DB74)</f>
        <v>147.71916421875</v>
      </c>
      <c r="DE74" s="156">
        <f>MAX(DA74,DC74)</f>
        <v>147.71916421875</v>
      </c>
    </row>
    <row r="75" spans="1:109" ht="11.25">
      <c r="A75" s="156" t="s">
        <v>318</v>
      </c>
      <c r="B75" s="156">
        <f>IF(B16&gt;$B$2,0,IF(B16&gt;$B$5,0,-$B$4*($B$5-B16)))</f>
        <v>0</v>
      </c>
      <c r="C75" s="156">
        <f aca="true" t="shared" si="80" ref="C75:BN75">IF(C16&gt;$B$2,0,IF(C16&gt;$B$5,0,-$B$4*($B$5-C16)))</f>
        <v>0</v>
      </c>
      <c r="D75" s="156">
        <f t="shared" si="80"/>
        <v>0</v>
      </c>
      <c r="E75" s="156">
        <f t="shared" si="80"/>
        <v>0</v>
      </c>
      <c r="F75" s="156">
        <f t="shared" si="80"/>
        <v>0</v>
      </c>
      <c r="G75" s="156">
        <f t="shared" si="80"/>
        <v>0</v>
      </c>
      <c r="H75" s="156">
        <f t="shared" si="80"/>
        <v>0</v>
      </c>
      <c r="I75" s="156">
        <f t="shared" si="80"/>
        <v>0</v>
      </c>
      <c r="J75" s="156">
        <f t="shared" si="80"/>
        <v>0</v>
      </c>
      <c r="K75" s="156">
        <f t="shared" si="80"/>
        <v>0</v>
      </c>
      <c r="L75" s="156">
        <f t="shared" si="80"/>
        <v>0</v>
      </c>
      <c r="M75" s="156">
        <f t="shared" si="80"/>
        <v>0</v>
      </c>
      <c r="N75" s="156">
        <f t="shared" si="80"/>
        <v>0</v>
      </c>
      <c r="O75" s="156">
        <f t="shared" si="80"/>
        <v>0</v>
      </c>
      <c r="P75" s="156">
        <f t="shared" si="80"/>
        <v>0</v>
      </c>
      <c r="Q75" s="156">
        <f t="shared" si="80"/>
        <v>0</v>
      </c>
      <c r="R75" s="156">
        <f t="shared" si="80"/>
        <v>0</v>
      </c>
      <c r="S75" s="156">
        <f t="shared" si="80"/>
        <v>0</v>
      </c>
      <c r="T75" s="156">
        <f t="shared" si="80"/>
        <v>0</v>
      </c>
      <c r="U75" s="156">
        <f t="shared" si="80"/>
        <v>0</v>
      </c>
      <c r="V75" s="156">
        <f t="shared" si="80"/>
        <v>0</v>
      </c>
      <c r="W75" s="156">
        <f t="shared" si="80"/>
        <v>0</v>
      </c>
      <c r="X75" s="156">
        <f t="shared" si="80"/>
        <v>0</v>
      </c>
      <c r="Y75" s="156">
        <f t="shared" si="80"/>
        <v>0</v>
      </c>
      <c r="Z75" s="156">
        <f t="shared" si="80"/>
        <v>0</v>
      </c>
      <c r="AA75" s="156">
        <f t="shared" si="80"/>
        <v>0</v>
      </c>
      <c r="AB75" s="156">
        <f t="shared" si="80"/>
        <v>0</v>
      </c>
      <c r="AC75" s="156">
        <f t="shared" si="80"/>
        <v>0</v>
      </c>
      <c r="AD75" s="156">
        <f t="shared" si="80"/>
        <v>0</v>
      </c>
      <c r="AE75" s="156">
        <f t="shared" si="80"/>
        <v>0</v>
      </c>
      <c r="AF75" s="156">
        <f t="shared" si="80"/>
        <v>0</v>
      </c>
      <c r="AG75" s="156">
        <f t="shared" si="80"/>
        <v>0</v>
      </c>
      <c r="AH75" s="156">
        <f t="shared" si="80"/>
        <v>0</v>
      </c>
      <c r="AI75" s="156">
        <f t="shared" si="80"/>
        <v>0</v>
      </c>
      <c r="AJ75" s="156">
        <f t="shared" si="80"/>
        <v>0</v>
      </c>
      <c r="AK75" s="156">
        <f t="shared" si="80"/>
        <v>0</v>
      </c>
      <c r="AL75" s="156">
        <f t="shared" si="80"/>
        <v>0</v>
      </c>
      <c r="AM75" s="156">
        <f t="shared" si="80"/>
        <v>0</v>
      </c>
      <c r="AN75" s="156">
        <f t="shared" si="80"/>
        <v>0</v>
      </c>
      <c r="AO75" s="156">
        <f t="shared" si="80"/>
        <v>0</v>
      </c>
      <c r="AP75" s="156">
        <f t="shared" si="80"/>
        <v>0</v>
      </c>
      <c r="AQ75" s="156">
        <f t="shared" si="80"/>
        <v>0</v>
      </c>
      <c r="AR75" s="156">
        <f t="shared" si="80"/>
        <v>0</v>
      </c>
      <c r="AS75" s="156">
        <f t="shared" si="80"/>
        <v>0</v>
      </c>
      <c r="AT75" s="156">
        <f t="shared" si="80"/>
        <v>0</v>
      </c>
      <c r="AU75" s="156">
        <f t="shared" si="80"/>
        <v>0</v>
      </c>
      <c r="AV75" s="156">
        <f t="shared" si="80"/>
        <v>0</v>
      </c>
      <c r="AW75" s="156">
        <f t="shared" si="80"/>
        <v>0</v>
      </c>
      <c r="AX75" s="156">
        <f t="shared" si="80"/>
        <v>0</v>
      </c>
      <c r="AY75" s="156">
        <f t="shared" si="80"/>
        <v>0</v>
      </c>
      <c r="AZ75" s="156">
        <f t="shared" si="80"/>
        <v>0</v>
      </c>
      <c r="BA75" s="156">
        <f t="shared" si="80"/>
        <v>0</v>
      </c>
      <c r="BB75" s="156">
        <f t="shared" si="80"/>
        <v>0</v>
      </c>
      <c r="BC75" s="156">
        <f t="shared" si="80"/>
        <v>0</v>
      </c>
      <c r="BD75" s="156">
        <f t="shared" si="80"/>
        <v>0</v>
      </c>
      <c r="BE75" s="156">
        <f t="shared" si="80"/>
        <v>0</v>
      </c>
      <c r="BF75" s="156">
        <f t="shared" si="80"/>
        <v>0</v>
      </c>
      <c r="BG75" s="156">
        <f t="shared" si="80"/>
        <v>0</v>
      </c>
      <c r="BH75" s="156">
        <f t="shared" si="80"/>
        <v>0</v>
      </c>
      <c r="BI75" s="156">
        <f t="shared" si="80"/>
        <v>0</v>
      </c>
      <c r="BJ75" s="156">
        <f t="shared" si="80"/>
        <v>0</v>
      </c>
      <c r="BK75" s="156">
        <f t="shared" si="80"/>
        <v>0</v>
      </c>
      <c r="BL75" s="156">
        <f t="shared" si="80"/>
        <v>0</v>
      </c>
      <c r="BM75" s="156">
        <f t="shared" si="80"/>
        <v>0</v>
      </c>
      <c r="BN75" s="156">
        <f t="shared" si="80"/>
        <v>0</v>
      </c>
      <c r="BO75" s="156">
        <f aca="true" t="shared" si="81" ref="BO75:CY75">IF(BO16&gt;$B$2,0,IF(BO16&gt;$B$5,0,-$B$4*($B$5-BO16)))</f>
        <v>0</v>
      </c>
      <c r="BP75" s="156">
        <f t="shared" si="81"/>
        <v>0</v>
      </c>
      <c r="BQ75" s="156">
        <f t="shared" si="81"/>
        <v>0</v>
      </c>
      <c r="BR75" s="156">
        <f t="shared" si="81"/>
        <v>0</v>
      </c>
      <c r="BS75" s="156">
        <f t="shared" si="81"/>
        <v>0</v>
      </c>
      <c r="BT75" s="156">
        <f t="shared" si="81"/>
        <v>0</v>
      </c>
      <c r="BU75" s="156">
        <f t="shared" si="81"/>
        <v>0</v>
      </c>
      <c r="BV75" s="156">
        <f t="shared" si="81"/>
        <v>0</v>
      </c>
      <c r="BW75" s="156">
        <f t="shared" si="81"/>
        <v>0</v>
      </c>
      <c r="BX75" s="156">
        <f t="shared" si="81"/>
        <v>0</v>
      </c>
      <c r="BY75" s="156">
        <f t="shared" si="81"/>
        <v>0</v>
      </c>
      <c r="BZ75" s="156">
        <f t="shared" si="81"/>
        <v>0</v>
      </c>
      <c r="CA75" s="156">
        <f t="shared" si="81"/>
        <v>0</v>
      </c>
      <c r="CB75" s="156">
        <f t="shared" si="81"/>
        <v>0</v>
      </c>
      <c r="CC75" s="156">
        <f t="shared" si="81"/>
        <v>0</v>
      </c>
      <c r="CD75" s="156">
        <f t="shared" si="81"/>
        <v>0</v>
      </c>
      <c r="CE75" s="156">
        <f t="shared" si="81"/>
        <v>0</v>
      </c>
      <c r="CF75" s="156">
        <f t="shared" si="81"/>
        <v>0</v>
      </c>
      <c r="CG75" s="156">
        <f t="shared" si="81"/>
        <v>0</v>
      </c>
      <c r="CH75" s="156">
        <f t="shared" si="81"/>
        <v>0</v>
      </c>
      <c r="CI75" s="156">
        <f t="shared" si="81"/>
        <v>0</v>
      </c>
      <c r="CJ75" s="156">
        <f t="shared" si="81"/>
        <v>0</v>
      </c>
      <c r="CK75" s="156">
        <f t="shared" si="81"/>
        <v>0</v>
      </c>
      <c r="CL75" s="156">
        <f t="shared" si="81"/>
        <v>0</v>
      </c>
      <c r="CM75" s="156">
        <f t="shared" si="81"/>
        <v>0</v>
      </c>
      <c r="CN75" s="156">
        <f t="shared" si="81"/>
        <v>0</v>
      </c>
      <c r="CO75" s="156">
        <f t="shared" si="81"/>
        <v>0</v>
      </c>
      <c r="CP75" s="156">
        <f t="shared" si="81"/>
        <v>0</v>
      </c>
      <c r="CQ75" s="156">
        <f t="shared" si="81"/>
        <v>0</v>
      </c>
      <c r="CR75" s="156">
        <f t="shared" si="81"/>
        <v>0</v>
      </c>
      <c r="CS75" s="156">
        <f t="shared" si="81"/>
        <v>0</v>
      </c>
      <c r="CT75" s="156">
        <f t="shared" si="81"/>
        <v>0</v>
      </c>
      <c r="CU75" s="156">
        <f t="shared" si="81"/>
        <v>0</v>
      </c>
      <c r="CV75" s="156">
        <f t="shared" si="81"/>
        <v>0</v>
      </c>
      <c r="CW75" s="156">
        <f t="shared" si="81"/>
        <v>0</v>
      </c>
      <c r="CX75" s="156">
        <f t="shared" si="81"/>
        <v>0</v>
      </c>
      <c r="CY75" s="156">
        <f t="shared" si="81"/>
        <v>0</v>
      </c>
      <c r="DA75" s="156">
        <f>MAX(B75:CY75)</f>
        <v>0</v>
      </c>
      <c r="DB75" s="156">
        <f>MIN(B75:CY75)</f>
        <v>0</v>
      </c>
      <c r="DC75" s="156">
        <f>ABS(DB75)</f>
        <v>0</v>
      </c>
      <c r="DE75" s="156">
        <f>MAX(DA75,DC75)</f>
        <v>0</v>
      </c>
    </row>
    <row r="76" spans="1:109" ht="11.25">
      <c r="A76" s="156" t="s">
        <v>75</v>
      </c>
      <c r="B76" s="156">
        <f>B74+B75</f>
        <v>-147.71916421875</v>
      </c>
      <c r="C76" s="156">
        <f aca="true" t="shared" si="82" ref="C76:BN76">C74+C75</f>
        <v>-142.44390796875</v>
      </c>
      <c r="D76" s="156">
        <f t="shared" si="82"/>
        <v>-137.26456546875</v>
      </c>
      <c r="E76" s="156">
        <f t="shared" si="82"/>
        <v>-132.18113671875</v>
      </c>
      <c r="F76" s="156">
        <f t="shared" si="82"/>
        <v>-127.19362171874998</v>
      </c>
      <c r="G76" s="156">
        <f t="shared" si="82"/>
        <v>-122.30202046875</v>
      </c>
      <c r="H76" s="156">
        <f t="shared" si="82"/>
        <v>-117.50633296875002</v>
      </c>
      <c r="I76" s="156">
        <f t="shared" si="82"/>
        <v>-112.80655921875</v>
      </c>
      <c r="J76" s="156">
        <f t="shared" si="82"/>
        <v>-108.20269921875</v>
      </c>
      <c r="K76" s="156">
        <f t="shared" si="82"/>
        <v>-103.69475296875002</v>
      </c>
      <c r="L76" s="156">
        <f t="shared" si="82"/>
        <v>-99.28272046874999</v>
      </c>
      <c r="M76" s="156">
        <f t="shared" si="82"/>
        <v>-94.96660171875001</v>
      </c>
      <c r="N76" s="156">
        <f t="shared" si="82"/>
        <v>-90.74639671874999</v>
      </c>
      <c r="O76" s="156">
        <f t="shared" si="82"/>
        <v>-86.62210546875001</v>
      </c>
      <c r="P76" s="156">
        <f t="shared" si="82"/>
        <v>-82.59372796874999</v>
      </c>
      <c r="Q76" s="156">
        <f t="shared" si="82"/>
        <v>-78.66126421875</v>
      </c>
      <c r="R76" s="156">
        <f t="shared" si="82"/>
        <v>-74.82471421874997</v>
      </c>
      <c r="S76" s="156">
        <f t="shared" si="82"/>
        <v>-71.08407796875</v>
      </c>
      <c r="T76" s="156">
        <f t="shared" si="82"/>
        <v>-67.43935546874997</v>
      </c>
      <c r="U76" s="156">
        <f t="shared" si="82"/>
        <v>-63.89054671874999</v>
      </c>
      <c r="V76" s="156">
        <f t="shared" si="82"/>
        <v>-60.43765171874998</v>
      </c>
      <c r="W76" s="156">
        <f t="shared" si="82"/>
        <v>-57.08067046874998</v>
      </c>
      <c r="X76" s="156">
        <f t="shared" si="82"/>
        <v>-53.81960296874998</v>
      </c>
      <c r="Y76" s="156">
        <f t="shared" si="82"/>
        <v>-50.654449218749974</v>
      </c>
      <c r="Z76" s="156">
        <f t="shared" si="82"/>
        <v>-47.585209218749974</v>
      </c>
      <c r="AA76" s="156">
        <f t="shared" si="82"/>
        <v>-44.611882968749974</v>
      </c>
      <c r="AB76" s="156">
        <f t="shared" si="82"/>
        <v>-41.73447046874997</v>
      </c>
      <c r="AC76" s="156">
        <f t="shared" si="82"/>
        <v>-38.95297171874997</v>
      </c>
      <c r="AD76" s="156">
        <f t="shared" si="82"/>
        <v>-36.26738671874997</v>
      </c>
      <c r="AE76" s="156">
        <f t="shared" si="82"/>
        <v>-33.677715468749966</v>
      </c>
      <c r="AF76" s="156">
        <f t="shared" si="82"/>
        <v>-31.18395796874996</v>
      </c>
      <c r="AG76" s="156">
        <f t="shared" si="82"/>
        <v>-28.786114218749965</v>
      </c>
      <c r="AH76" s="156">
        <f t="shared" si="82"/>
        <v>-26.484184218749967</v>
      </c>
      <c r="AI76" s="156">
        <f t="shared" si="82"/>
        <v>-24.278167968749962</v>
      </c>
      <c r="AJ76" s="156">
        <f t="shared" si="82"/>
        <v>-22.168065468749962</v>
      </c>
      <c r="AK76" s="156">
        <f t="shared" si="82"/>
        <v>-20.153876718749963</v>
      </c>
      <c r="AL76" s="156">
        <f t="shared" si="82"/>
        <v>-18.235601718749965</v>
      </c>
      <c r="AM76" s="156">
        <f t="shared" si="82"/>
        <v>-16.413240468749965</v>
      </c>
      <c r="AN76" s="156">
        <f t="shared" si="82"/>
        <v>-14.686792968749964</v>
      </c>
      <c r="AO76" s="156">
        <f t="shared" si="82"/>
        <v>-13.056259218749966</v>
      </c>
      <c r="AP76" s="156">
        <f t="shared" si="82"/>
        <v>-11.521639218749973</v>
      </c>
      <c r="AQ76" s="156">
        <f t="shared" si="82"/>
        <v>-10.082932968749978</v>
      </c>
      <c r="AR76" s="156">
        <f t="shared" si="82"/>
        <v>-8.740140468749985</v>
      </c>
      <c r="AS76" s="156">
        <f t="shared" si="82"/>
        <v>-7.493261718749991</v>
      </c>
      <c r="AT76" s="156">
        <f t="shared" si="82"/>
        <v>-6.342296718749994</v>
      </c>
      <c r="AU76" s="156">
        <f t="shared" si="82"/>
        <v>-5.287245468749998</v>
      </c>
      <c r="AV76" s="156">
        <f t="shared" si="82"/>
        <v>-4.328107968750002</v>
      </c>
      <c r="AW76" s="156">
        <f t="shared" si="82"/>
        <v>-3.464884218750005</v>
      </c>
      <c r="AX76" s="156">
        <f t="shared" si="82"/>
        <v>-2.6975742187500065</v>
      </c>
      <c r="AY76" s="156">
        <f t="shared" si="82"/>
        <v>-2.026177968750008</v>
      </c>
      <c r="AZ76" s="156">
        <f t="shared" si="82"/>
        <v>-1.4506954687500087</v>
      </c>
      <c r="BA76" s="156">
        <f t="shared" si="82"/>
        <v>-0.9711267187500086</v>
      </c>
      <c r="BB76" s="156">
        <f t="shared" si="82"/>
        <v>-0.5874717187500078</v>
      </c>
      <c r="BC76" s="156">
        <f t="shared" si="82"/>
        <v>-0.2997304687500064</v>
      </c>
      <c r="BD76" s="156">
        <f t="shared" si="82"/>
        <v>-0.10790296875000434</v>
      </c>
      <c r="BE76" s="156">
        <f t="shared" si="82"/>
        <v>-0.01198921875000162</v>
      </c>
      <c r="BF76" s="156">
        <f t="shared" si="82"/>
        <v>0</v>
      </c>
      <c r="BG76" s="156">
        <f t="shared" si="82"/>
        <v>0</v>
      </c>
      <c r="BH76" s="156">
        <f t="shared" si="82"/>
        <v>0</v>
      </c>
      <c r="BI76" s="156">
        <f t="shared" si="82"/>
        <v>0</v>
      </c>
      <c r="BJ76" s="156">
        <f t="shared" si="82"/>
        <v>0</v>
      </c>
      <c r="BK76" s="156">
        <f t="shared" si="82"/>
        <v>0</v>
      </c>
      <c r="BL76" s="156">
        <f t="shared" si="82"/>
        <v>0</v>
      </c>
      <c r="BM76" s="156">
        <f t="shared" si="82"/>
        <v>0</v>
      </c>
      <c r="BN76" s="156">
        <f t="shared" si="82"/>
        <v>0</v>
      </c>
      <c r="BO76" s="156">
        <f aca="true" t="shared" si="83" ref="BO76:CY76">BO74+BO75</f>
        <v>0</v>
      </c>
      <c r="BP76" s="156">
        <f t="shared" si="83"/>
        <v>0</v>
      </c>
      <c r="BQ76" s="156">
        <f t="shared" si="83"/>
        <v>0</v>
      </c>
      <c r="BR76" s="156">
        <f t="shared" si="83"/>
        <v>0</v>
      </c>
      <c r="BS76" s="156">
        <f t="shared" si="83"/>
        <v>0</v>
      </c>
      <c r="BT76" s="156">
        <f t="shared" si="83"/>
        <v>0</v>
      </c>
      <c r="BU76" s="156">
        <f t="shared" si="83"/>
        <v>0</v>
      </c>
      <c r="BV76" s="156">
        <f t="shared" si="83"/>
        <v>0</v>
      </c>
      <c r="BW76" s="156">
        <f t="shared" si="83"/>
        <v>0</v>
      </c>
      <c r="BX76" s="156">
        <f t="shared" si="83"/>
        <v>0</v>
      </c>
      <c r="BY76" s="156">
        <f t="shared" si="83"/>
        <v>0</v>
      </c>
      <c r="BZ76" s="156">
        <f t="shared" si="83"/>
        <v>0</v>
      </c>
      <c r="CA76" s="156">
        <f t="shared" si="83"/>
        <v>0</v>
      </c>
      <c r="CB76" s="156">
        <f t="shared" si="83"/>
        <v>0</v>
      </c>
      <c r="CC76" s="156">
        <f t="shared" si="83"/>
        <v>0</v>
      </c>
      <c r="CD76" s="156">
        <f t="shared" si="83"/>
        <v>0</v>
      </c>
      <c r="CE76" s="156">
        <f t="shared" si="83"/>
        <v>0</v>
      </c>
      <c r="CF76" s="156">
        <f t="shared" si="83"/>
        <v>0</v>
      </c>
      <c r="CG76" s="156">
        <f t="shared" si="83"/>
        <v>0</v>
      </c>
      <c r="CH76" s="156">
        <f t="shared" si="83"/>
        <v>0</v>
      </c>
      <c r="CI76" s="156">
        <f t="shared" si="83"/>
        <v>0</v>
      </c>
      <c r="CJ76" s="156">
        <f t="shared" si="83"/>
        <v>0</v>
      </c>
      <c r="CK76" s="156">
        <f t="shared" si="83"/>
        <v>0</v>
      </c>
      <c r="CL76" s="156">
        <f t="shared" si="83"/>
        <v>0</v>
      </c>
      <c r="CM76" s="156">
        <f t="shared" si="83"/>
        <v>0</v>
      </c>
      <c r="CN76" s="156">
        <f t="shared" si="83"/>
        <v>0</v>
      </c>
      <c r="CO76" s="156">
        <f t="shared" si="83"/>
        <v>0</v>
      </c>
      <c r="CP76" s="156">
        <f t="shared" si="83"/>
        <v>0</v>
      </c>
      <c r="CQ76" s="156">
        <f t="shared" si="83"/>
        <v>0</v>
      </c>
      <c r="CR76" s="156">
        <f t="shared" si="83"/>
        <v>0</v>
      </c>
      <c r="CS76" s="156">
        <f t="shared" si="83"/>
        <v>0</v>
      </c>
      <c r="CT76" s="156">
        <f t="shared" si="83"/>
        <v>0</v>
      </c>
      <c r="CU76" s="156">
        <f t="shared" si="83"/>
        <v>0</v>
      </c>
      <c r="CV76" s="156">
        <f t="shared" si="83"/>
        <v>0</v>
      </c>
      <c r="CW76" s="156">
        <f t="shared" si="83"/>
        <v>0</v>
      </c>
      <c r="CX76" s="156">
        <f t="shared" si="83"/>
        <v>0</v>
      </c>
      <c r="CY76" s="156">
        <f t="shared" si="83"/>
        <v>-44.611882968749995</v>
      </c>
      <c r="DA76" s="156">
        <f>MAX(B76:CY76)</f>
        <v>0</v>
      </c>
      <c r="DB76" s="156">
        <f>MIN(B76:CY76)</f>
        <v>-147.71916421875</v>
      </c>
      <c r="DC76" s="156">
        <f>ABS(DB76)</f>
        <v>147.71916421875</v>
      </c>
      <c r="DE76" s="156">
        <f>MAX(DA76,DC76)</f>
        <v>147.71916421875</v>
      </c>
    </row>
    <row r="78" spans="1:109" ht="11.25">
      <c r="A78" s="156" t="s">
        <v>324</v>
      </c>
      <c r="B78" s="156">
        <f>IF(B16&gt;$B$2,0,$B$3*($B$2-B16))</f>
        <v>53.23213125</v>
      </c>
      <c r="C78" s="156">
        <f aca="true" t="shared" si="84" ref="C78:BN78">IF(C16&gt;$B$2,0,$B$3*($B$2-C16))</f>
        <v>52.272993750000005</v>
      </c>
      <c r="D78" s="156">
        <f t="shared" si="84"/>
        <v>51.31385625</v>
      </c>
      <c r="E78" s="156">
        <f t="shared" si="84"/>
        <v>50.35471875</v>
      </c>
      <c r="F78" s="156">
        <f t="shared" si="84"/>
        <v>49.39558125</v>
      </c>
      <c r="G78" s="156">
        <f t="shared" si="84"/>
        <v>48.43644375</v>
      </c>
      <c r="H78" s="156">
        <f t="shared" si="84"/>
        <v>47.477306250000005</v>
      </c>
      <c r="I78" s="156">
        <f t="shared" si="84"/>
        <v>46.51816875</v>
      </c>
      <c r="J78" s="156">
        <f t="shared" si="84"/>
        <v>45.559031250000004</v>
      </c>
      <c r="K78" s="156">
        <f t="shared" si="84"/>
        <v>44.59989375000001</v>
      </c>
      <c r="L78" s="156">
        <f t="shared" si="84"/>
        <v>43.64075625</v>
      </c>
      <c r="M78" s="156">
        <f t="shared" si="84"/>
        <v>42.681618750000005</v>
      </c>
      <c r="N78" s="156">
        <f t="shared" si="84"/>
        <v>41.72248125</v>
      </c>
      <c r="O78" s="156">
        <f t="shared" si="84"/>
        <v>40.763343750000004</v>
      </c>
      <c r="P78" s="156">
        <f t="shared" si="84"/>
        <v>39.80420625</v>
      </c>
      <c r="Q78" s="156">
        <f t="shared" si="84"/>
        <v>38.84506875</v>
      </c>
      <c r="R78" s="156">
        <f t="shared" si="84"/>
        <v>37.88593125</v>
      </c>
      <c r="S78" s="156">
        <f t="shared" si="84"/>
        <v>36.92679375</v>
      </c>
      <c r="T78" s="156">
        <f t="shared" si="84"/>
        <v>35.96765625</v>
      </c>
      <c r="U78" s="156">
        <f t="shared" si="84"/>
        <v>35.00851875</v>
      </c>
      <c r="V78" s="156">
        <f t="shared" si="84"/>
        <v>34.049381249999996</v>
      </c>
      <c r="W78" s="156">
        <f t="shared" si="84"/>
        <v>33.09024375</v>
      </c>
      <c r="X78" s="156">
        <f t="shared" si="84"/>
        <v>32.131106249999995</v>
      </c>
      <c r="Y78" s="156">
        <f t="shared" si="84"/>
        <v>31.171968749999994</v>
      </c>
      <c r="Z78" s="156">
        <f t="shared" si="84"/>
        <v>30.212831249999994</v>
      </c>
      <c r="AA78" s="156">
        <f t="shared" si="84"/>
        <v>29.253693749999993</v>
      </c>
      <c r="AB78" s="156">
        <f t="shared" si="84"/>
        <v>28.294556249999992</v>
      </c>
      <c r="AC78" s="156">
        <f t="shared" si="84"/>
        <v>27.33541874999999</v>
      </c>
      <c r="AD78" s="156">
        <f t="shared" si="84"/>
        <v>26.37628124999999</v>
      </c>
      <c r="AE78" s="156">
        <f t="shared" si="84"/>
        <v>25.41714374999999</v>
      </c>
      <c r="AF78" s="156">
        <f t="shared" si="84"/>
        <v>24.45800624999999</v>
      </c>
      <c r="AG78" s="156">
        <f t="shared" si="84"/>
        <v>23.49886874999999</v>
      </c>
      <c r="AH78" s="156">
        <f t="shared" si="84"/>
        <v>22.539731249999985</v>
      </c>
      <c r="AI78" s="156">
        <f t="shared" si="84"/>
        <v>21.580593749999984</v>
      </c>
      <c r="AJ78" s="156">
        <f t="shared" si="84"/>
        <v>20.621456249999984</v>
      </c>
      <c r="AK78" s="156">
        <f t="shared" si="84"/>
        <v>19.662318749999983</v>
      </c>
      <c r="AL78" s="156">
        <f t="shared" si="84"/>
        <v>18.703181249999982</v>
      </c>
      <c r="AM78" s="156">
        <f t="shared" si="84"/>
        <v>17.74404374999998</v>
      </c>
      <c r="AN78" s="156">
        <f t="shared" si="84"/>
        <v>16.78490624999998</v>
      </c>
      <c r="AO78" s="156">
        <f t="shared" si="84"/>
        <v>15.82576874999998</v>
      </c>
      <c r="AP78" s="156">
        <f t="shared" si="84"/>
        <v>14.866631249999983</v>
      </c>
      <c r="AQ78" s="156">
        <f t="shared" si="84"/>
        <v>13.907493749999986</v>
      </c>
      <c r="AR78" s="156">
        <f t="shared" si="84"/>
        <v>12.94835624999999</v>
      </c>
      <c r="AS78" s="156">
        <f t="shared" si="84"/>
        <v>11.989218749999992</v>
      </c>
      <c r="AT78" s="156">
        <f t="shared" si="84"/>
        <v>11.030081249999997</v>
      </c>
      <c r="AU78" s="156">
        <f t="shared" si="84"/>
        <v>10.07094375</v>
      </c>
      <c r="AV78" s="156">
        <f t="shared" si="84"/>
        <v>9.111806250000003</v>
      </c>
      <c r="AW78" s="156">
        <f t="shared" si="84"/>
        <v>8.152668750000005</v>
      </c>
      <c r="AX78" s="156">
        <f t="shared" si="84"/>
        <v>7.193531250000009</v>
      </c>
      <c r="AY78" s="156">
        <f t="shared" si="84"/>
        <v>6.234393750000013</v>
      </c>
      <c r="AZ78" s="156">
        <f t="shared" si="84"/>
        <v>5.275256250000016</v>
      </c>
      <c r="BA78" s="156">
        <f t="shared" si="84"/>
        <v>4.316118750000019</v>
      </c>
      <c r="BB78" s="156">
        <f t="shared" si="84"/>
        <v>3.3569812500000227</v>
      </c>
      <c r="BC78" s="156">
        <f t="shared" si="84"/>
        <v>2.397843750000026</v>
      </c>
      <c r="BD78" s="156">
        <f t="shared" si="84"/>
        <v>1.4387062500000292</v>
      </c>
      <c r="BE78" s="156">
        <f t="shared" si="84"/>
        <v>0.4795687500000324</v>
      </c>
      <c r="BF78" s="156">
        <f t="shared" si="84"/>
        <v>0</v>
      </c>
      <c r="BG78" s="156">
        <f t="shared" si="84"/>
        <v>0</v>
      </c>
      <c r="BH78" s="156">
        <f t="shared" si="84"/>
        <v>0</v>
      </c>
      <c r="BI78" s="156">
        <f t="shared" si="84"/>
        <v>0</v>
      </c>
      <c r="BJ78" s="156">
        <f t="shared" si="84"/>
        <v>0</v>
      </c>
      <c r="BK78" s="156">
        <f t="shared" si="84"/>
        <v>0</v>
      </c>
      <c r="BL78" s="156">
        <f t="shared" si="84"/>
        <v>0</v>
      </c>
      <c r="BM78" s="156">
        <f t="shared" si="84"/>
        <v>0</v>
      </c>
      <c r="BN78" s="156">
        <f t="shared" si="84"/>
        <v>0</v>
      </c>
      <c r="BO78" s="156">
        <f aca="true" t="shared" si="85" ref="BO78:CY78">IF(BO16&gt;$B$2,0,$B$3*($B$2-BO16))</f>
        <v>0</v>
      </c>
      <c r="BP78" s="156">
        <f t="shared" si="85"/>
        <v>0</v>
      </c>
      <c r="BQ78" s="156">
        <f t="shared" si="85"/>
        <v>0</v>
      </c>
      <c r="BR78" s="156">
        <f t="shared" si="85"/>
        <v>0</v>
      </c>
      <c r="BS78" s="156">
        <f t="shared" si="85"/>
        <v>0</v>
      </c>
      <c r="BT78" s="156">
        <f t="shared" si="85"/>
        <v>0</v>
      </c>
      <c r="BU78" s="156">
        <f t="shared" si="85"/>
        <v>0</v>
      </c>
      <c r="BV78" s="156">
        <f t="shared" si="85"/>
        <v>0</v>
      </c>
      <c r="BW78" s="156">
        <f t="shared" si="85"/>
        <v>0</v>
      </c>
      <c r="BX78" s="156">
        <f t="shared" si="85"/>
        <v>0</v>
      </c>
      <c r="BY78" s="156">
        <f t="shared" si="85"/>
        <v>0</v>
      </c>
      <c r="BZ78" s="156">
        <f t="shared" si="85"/>
        <v>0</v>
      </c>
      <c r="CA78" s="156">
        <f t="shared" si="85"/>
        <v>0</v>
      </c>
      <c r="CB78" s="156">
        <f t="shared" si="85"/>
        <v>0</v>
      </c>
      <c r="CC78" s="156">
        <f t="shared" si="85"/>
        <v>0</v>
      </c>
      <c r="CD78" s="156">
        <f t="shared" si="85"/>
        <v>0</v>
      </c>
      <c r="CE78" s="156">
        <f t="shared" si="85"/>
        <v>0</v>
      </c>
      <c r="CF78" s="156">
        <f t="shared" si="85"/>
        <v>0</v>
      </c>
      <c r="CG78" s="156">
        <f t="shared" si="85"/>
        <v>0</v>
      </c>
      <c r="CH78" s="156">
        <f t="shared" si="85"/>
        <v>0</v>
      </c>
      <c r="CI78" s="156">
        <f t="shared" si="85"/>
        <v>0</v>
      </c>
      <c r="CJ78" s="156">
        <f t="shared" si="85"/>
        <v>0</v>
      </c>
      <c r="CK78" s="156">
        <f t="shared" si="85"/>
        <v>0</v>
      </c>
      <c r="CL78" s="156">
        <f t="shared" si="85"/>
        <v>0</v>
      </c>
      <c r="CM78" s="156">
        <f t="shared" si="85"/>
        <v>0</v>
      </c>
      <c r="CN78" s="156">
        <f t="shared" si="85"/>
        <v>0</v>
      </c>
      <c r="CO78" s="156">
        <f t="shared" si="85"/>
        <v>0</v>
      </c>
      <c r="CP78" s="156">
        <f t="shared" si="85"/>
        <v>0</v>
      </c>
      <c r="CQ78" s="156">
        <f t="shared" si="85"/>
        <v>0</v>
      </c>
      <c r="CR78" s="156">
        <f t="shared" si="85"/>
        <v>0</v>
      </c>
      <c r="CS78" s="156">
        <f t="shared" si="85"/>
        <v>0</v>
      </c>
      <c r="CT78" s="156">
        <f t="shared" si="85"/>
        <v>0</v>
      </c>
      <c r="CU78" s="156">
        <f t="shared" si="85"/>
        <v>0</v>
      </c>
      <c r="CV78" s="156">
        <f t="shared" si="85"/>
        <v>0</v>
      </c>
      <c r="CW78" s="156">
        <f t="shared" si="85"/>
        <v>0</v>
      </c>
      <c r="CX78" s="156">
        <f t="shared" si="85"/>
        <v>0</v>
      </c>
      <c r="CY78" s="156">
        <f t="shared" si="85"/>
        <v>29.25369375</v>
      </c>
      <c r="DA78" s="156">
        <f>MAX(B78:CY78)</f>
        <v>53.23213125</v>
      </c>
      <c r="DB78" s="156">
        <f>MIN(B78:CY78)</f>
        <v>0</v>
      </c>
      <c r="DC78" s="156">
        <f>ABS(DB78)</f>
        <v>0</v>
      </c>
      <c r="DE78" s="156">
        <f>MAX(DA78,DC78)</f>
        <v>53.23213125</v>
      </c>
    </row>
    <row r="79" spans="1:109" ht="11.25">
      <c r="A79" s="156" t="s">
        <v>325</v>
      </c>
      <c r="B79" s="156">
        <f>IF(B5=0,0,IF($B$16&gt;$B$5,0,$B$4))</f>
        <v>0</v>
      </c>
      <c r="C79" s="156">
        <f>IF($B$5=0,0,IF(C16&gt;$B$5,0,$B$4))</f>
        <v>0</v>
      </c>
      <c r="D79" s="156">
        <f aca="true" t="shared" si="86" ref="D79:BO79">IF($B$5=0,0,IF(D16&gt;$B$5,0,$B$4))</f>
        <v>0</v>
      </c>
      <c r="E79" s="156">
        <f t="shared" si="86"/>
        <v>0</v>
      </c>
      <c r="F79" s="156">
        <f t="shared" si="86"/>
        <v>0</v>
      </c>
      <c r="G79" s="156">
        <f t="shared" si="86"/>
        <v>0</v>
      </c>
      <c r="H79" s="156">
        <f t="shared" si="86"/>
        <v>0</v>
      </c>
      <c r="I79" s="156">
        <f t="shared" si="86"/>
        <v>0</v>
      </c>
      <c r="J79" s="156">
        <f t="shared" si="86"/>
        <v>0</v>
      </c>
      <c r="K79" s="156">
        <f t="shared" si="86"/>
        <v>0</v>
      </c>
      <c r="L79" s="156">
        <f t="shared" si="86"/>
        <v>0</v>
      </c>
      <c r="M79" s="156">
        <f t="shared" si="86"/>
        <v>0</v>
      </c>
      <c r="N79" s="156">
        <f t="shared" si="86"/>
        <v>0</v>
      </c>
      <c r="O79" s="156">
        <f t="shared" si="86"/>
        <v>0</v>
      </c>
      <c r="P79" s="156">
        <f t="shared" si="86"/>
        <v>0</v>
      </c>
      <c r="Q79" s="156">
        <f t="shared" si="86"/>
        <v>0</v>
      </c>
      <c r="R79" s="156">
        <f t="shared" si="86"/>
        <v>0</v>
      </c>
      <c r="S79" s="156">
        <f t="shared" si="86"/>
        <v>0</v>
      </c>
      <c r="T79" s="156">
        <f t="shared" si="86"/>
        <v>0</v>
      </c>
      <c r="U79" s="156">
        <f t="shared" si="86"/>
        <v>0</v>
      </c>
      <c r="V79" s="156">
        <f t="shared" si="86"/>
        <v>0</v>
      </c>
      <c r="W79" s="156">
        <f t="shared" si="86"/>
        <v>0</v>
      </c>
      <c r="X79" s="156">
        <f t="shared" si="86"/>
        <v>0</v>
      </c>
      <c r="Y79" s="156">
        <f t="shared" si="86"/>
        <v>0</v>
      </c>
      <c r="Z79" s="156">
        <f t="shared" si="86"/>
        <v>0</v>
      </c>
      <c r="AA79" s="156">
        <f t="shared" si="86"/>
        <v>0</v>
      </c>
      <c r="AB79" s="156">
        <f t="shared" si="86"/>
        <v>0</v>
      </c>
      <c r="AC79" s="156">
        <f t="shared" si="86"/>
        <v>0</v>
      </c>
      <c r="AD79" s="156">
        <f t="shared" si="86"/>
        <v>0</v>
      </c>
      <c r="AE79" s="156">
        <f t="shared" si="86"/>
        <v>0</v>
      </c>
      <c r="AF79" s="156">
        <f t="shared" si="86"/>
        <v>0</v>
      </c>
      <c r="AG79" s="156">
        <f t="shared" si="86"/>
        <v>0</v>
      </c>
      <c r="AH79" s="156">
        <f t="shared" si="86"/>
        <v>0</v>
      </c>
      <c r="AI79" s="156">
        <f t="shared" si="86"/>
        <v>0</v>
      </c>
      <c r="AJ79" s="156">
        <f t="shared" si="86"/>
        <v>0</v>
      </c>
      <c r="AK79" s="156">
        <f t="shared" si="86"/>
        <v>0</v>
      </c>
      <c r="AL79" s="156">
        <f t="shared" si="86"/>
        <v>0</v>
      </c>
      <c r="AM79" s="156">
        <f t="shared" si="86"/>
        <v>0</v>
      </c>
      <c r="AN79" s="156">
        <f t="shared" si="86"/>
        <v>0</v>
      </c>
      <c r="AO79" s="156">
        <f t="shared" si="86"/>
        <v>0</v>
      </c>
      <c r="AP79" s="156">
        <f t="shared" si="86"/>
        <v>0</v>
      </c>
      <c r="AQ79" s="156">
        <f t="shared" si="86"/>
        <v>0</v>
      </c>
      <c r="AR79" s="156">
        <f t="shared" si="86"/>
        <v>0</v>
      </c>
      <c r="AS79" s="156">
        <f t="shared" si="86"/>
        <v>0</v>
      </c>
      <c r="AT79" s="156">
        <f t="shared" si="86"/>
        <v>0</v>
      </c>
      <c r="AU79" s="156">
        <f t="shared" si="86"/>
        <v>0</v>
      </c>
      <c r="AV79" s="156">
        <f t="shared" si="86"/>
        <v>0</v>
      </c>
      <c r="AW79" s="156">
        <f t="shared" si="86"/>
        <v>0</v>
      </c>
      <c r="AX79" s="156">
        <f t="shared" si="86"/>
        <v>0</v>
      </c>
      <c r="AY79" s="156">
        <f t="shared" si="86"/>
        <v>0</v>
      </c>
      <c r="AZ79" s="156">
        <f t="shared" si="86"/>
        <v>0</v>
      </c>
      <c r="BA79" s="156">
        <f t="shared" si="86"/>
        <v>0</v>
      </c>
      <c r="BB79" s="156">
        <f t="shared" si="86"/>
        <v>0</v>
      </c>
      <c r="BC79" s="156">
        <f t="shared" si="86"/>
        <v>0</v>
      </c>
      <c r="BD79" s="156">
        <f t="shared" si="86"/>
        <v>0</v>
      </c>
      <c r="BE79" s="156">
        <f t="shared" si="86"/>
        <v>0</v>
      </c>
      <c r="BF79" s="156">
        <f t="shared" si="86"/>
        <v>0</v>
      </c>
      <c r="BG79" s="156">
        <f t="shared" si="86"/>
        <v>0</v>
      </c>
      <c r="BH79" s="156">
        <f t="shared" si="86"/>
        <v>0</v>
      </c>
      <c r="BI79" s="156">
        <f t="shared" si="86"/>
        <v>0</v>
      </c>
      <c r="BJ79" s="156">
        <f t="shared" si="86"/>
        <v>0</v>
      </c>
      <c r="BK79" s="156">
        <f t="shared" si="86"/>
        <v>0</v>
      </c>
      <c r="BL79" s="156">
        <f t="shared" si="86"/>
        <v>0</v>
      </c>
      <c r="BM79" s="156">
        <f t="shared" si="86"/>
        <v>0</v>
      </c>
      <c r="BN79" s="156">
        <f t="shared" si="86"/>
        <v>0</v>
      </c>
      <c r="BO79" s="156">
        <f t="shared" si="86"/>
        <v>0</v>
      </c>
      <c r="BP79" s="156">
        <f aca="true" t="shared" si="87" ref="BP79:CX79">IF($B$5=0,0,IF(BP16&gt;$B$5,0,$B$4))</f>
        <v>0</v>
      </c>
      <c r="BQ79" s="156">
        <f t="shared" si="87"/>
        <v>0</v>
      </c>
      <c r="BR79" s="156">
        <f t="shared" si="87"/>
        <v>0</v>
      </c>
      <c r="BS79" s="156">
        <f t="shared" si="87"/>
        <v>0</v>
      </c>
      <c r="BT79" s="156">
        <f t="shared" si="87"/>
        <v>0</v>
      </c>
      <c r="BU79" s="156">
        <f t="shared" si="87"/>
        <v>0</v>
      </c>
      <c r="BV79" s="156">
        <f t="shared" si="87"/>
        <v>0</v>
      </c>
      <c r="BW79" s="156">
        <f t="shared" si="87"/>
        <v>0</v>
      </c>
      <c r="BX79" s="156">
        <f t="shared" si="87"/>
        <v>0</v>
      </c>
      <c r="BY79" s="156">
        <f t="shared" si="87"/>
        <v>0</v>
      </c>
      <c r="BZ79" s="156">
        <f t="shared" si="87"/>
        <v>0</v>
      </c>
      <c r="CA79" s="156">
        <f t="shared" si="87"/>
        <v>0</v>
      </c>
      <c r="CB79" s="156">
        <f t="shared" si="87"/>
        <v>0</v>
      </c>
      <c r="CC79" s="156">
        <f t="shared" si="87"/>
        <v>0</v>
      </c>
      <c r="CD79" s="156">
        <f t="shared" si="87"/>
        <v>0</v>
      </c>
      <c r="CE79" s="156">
        <f t="shared" si="87"/>
        <v>0</v>
      </c>
      <c r="CF79" s="156">
        <f t="shared" si="87"/>
        <v>0</v>
      </c>
      <c r="CG79" s="156">
        <f t="shared" si="87"/>
        <v>0</v>
      </c>
      <c r="CH79" s="156">
        <f t="shared" si="87"/>
        <v>0</v>
      </c>
      <c r="CI79" s="156">
        <f t="shared" si="87"/>
        <v>0</v>
      </c>
      <c r="CJ79" s="156">
        <f t="shared" si="87"/>
        <v>0</v>
      </c>
      <c r="CK79" s="156">
        <f t="shared" si="87"/>
        <v>0</v>
      </c>
      <c r="CL79" s="156">
        <f t="shared" si="87"/>
        <v>0</v>
      </c>
      <c r="CM79" s="156">
        <f t="shared" si="87"/>
        <v>0</v>
      </c>
      <c r="CN79" s="156">
        <f t="shared" si="87"/>
        <v>0</v>
      </c>
      <c r="CO79" s="156">
        <f t="shared" si="87"/>
        <v>0</v>
      </c>
      <c r="CP79" s="156">
        <f t="shared" si="87"/>
        <v>0</v>
      </c>
      <c r="CQ79" s="156">
        <f t="shared" si="87"/>
        <v>0</v>
      </c>
      <c r="CR79" s="156">
        <f t="shared" si="87"/>
        <v>0</v>
      </c>
      <c r="CS79" s="156">
        <f t="shared" si="87"/>
        <v>0</v>
      </c>
      <c r="CT79" s="156">
        <f t="shared" si="87"/>
        <v>0</v>
      </c>
      <c r="CU79" s="156">
        <f t="shared" si="87"/>
        <v>0</v>
      </c>
      <c r="CV79" s="156">
        <f t="shared" si="87"/>
        <v>0</v>
      </c>
      <c r="CW79" s="156">
        <f t="shared" si="87"/>
        <v>0</v>
      </c>
      <c r="CX79" s="156">
        <f t="shared" si="87"/>
        <v>0</v>
      </c>
      <c r="CY79" s="156">
        <f>IF(CX5=0,0,IF(CY16&gt;$B$5,0,$B$4))</f>
        <v>0</v>
      </c>
      <c r="DA79" s="156">
        <f>MAX(B79:CY79)</f>
        <v>0</v>
      </c>
      <c r="DB79" s="156">
        <f>MIN(B79:CY79)</f>
        <v>0</v>
      </c>
      <c r="DC79" s="156">
        <f>ABS(DB79)</f>
        <v>0</v>
      </c>
      <c r="DE79" s="156">
        <f>MAX(DA79,DC79)</f>
        <v>0</v>
      </c>
    </row>
    <row r="80" spans="1:109" ht="11.25">
      <c r="A80" s="156" t="s">
        <v>75</v>
      </c>
      <c r="B80" s="156">
        <f>B78+B79</f>
        <v>53.23213125</v>
      </c>
      <c r="C80" s="156">
        <f aca="true" t="shared" si="88" ref="C80:BN80">C78+C79</f>
        <v>52.272993750000005</v>
      </c>
      <c r="D80" s="156">
        <f t="shared" si="88"/>
        <v>51.31385625</v>
      </c>
      <c r="E80" s="156">
        <f t="shared" si="88"/>
        <v>50.35471875</v>
      </c>
      <c r="F80" s="156">
        <f t="shared" si="88"/>
        <v>49.39558125</v>
      </c>
      <c r="G80" s="156">
        <f t="shared" si="88"/>
        <v>48.43644375</v>
      </c>
      <c r="H80" s="156">
        <f t="shared" si="88"/>
        <v>47.477306250000005</v>
      </c>
      <c r="I80" s="156">
        <f t="shared" si="88"/>
        <v>46.51816875</v>
      </c>
      <c r="J80" s="156">
        <f t="shared" si="88"/>
        <v>45.559031250000004</v>
      </c>
      <c r="K80" s="156">
        <f t="shared" si="88"/>
        <v>44.59989375000001</v>
      </c>
      <c r="L80" s="156">
        <f t="shared" si="88"/>
        <v>43.64075625</v>
      </c>
      <c r="M80" s="156">
        <f t="shared" si="88"/>
        <v>42.681618750000005</v>
      </c>
      <c r="N80" s="156">
        <f t="shared" si="88"/>
        <v>41.72248125</v>
      </c>
      <c r="O80" s="156">
        <f t="shared" si="88"/>
        <v>40.763343750000004</v>
      </c>
      <c r="P80" s="156">
        <f t="shared" si="88"/>
        <v>39.80420625</v>
      </c>
      <c r="Q80" s="156">
        <f t="shared" si="88"/>
        <v>38.84506875</v>
      </c>
      <c r="R80" s="156">
        <f t="shared" si="88"/>
        <v>37.88593125</v>
      </c>
      <c r="S80" s="156">
        <f t="shared" si="88"/>
        <v>36.92679375</v>
      </c>
      <c r="T80" s="156">
        <f t="shared" si="88"/>
        <v>35.96765625</v>
      </c>
      <c r="U80" s="156">
        <f t="shared" si="88"/>
        <v>35.00851875</v>
      </c>
      <c r="V80" s="156">
        <f t="shared" si="88"/>
        <v>34.049381249999996</v>
      </c>
      <c r="W80" s="156">
        <f t="shared" si="88"/>
        <v>33.09024375</v>
      </c>
      <c r="X80" s="156">
        <f t="shared" si="88"/>
        <v>32.131106249999995</v>
      </c>
      <c r="Y80" s="156">
        <f t="shared" si="88"/>
        <v>31.171968749999994</v>
      </c>
      <c r="Z80" s="156">
        <f t="shared" si="88"/>
        <v>30.212831249999994</v>
      </c>
      <c r="AA80" s="156">
        <f t="shared" si="88"/>
        <v>29.253693749999993</v>
      </c>
      <c r="AB80" s="156">
        <f t="shared" si="88"/>
        <v>28.294556249999992</v>
      </c>
      <c r="AC80" s="156">
        <f t="shared" si="88"/>
        <v>27.33541874999999</v>
      </c>
      <c r="AD80" s="156">
        <f t="shared" si="88"/>
        <v>26.37628124999999</v>
      </c>
      <c r="AE80" s="156">
        <f t="shared" si="88"/>
        <v>25.41714374999999</v>
      </c>
      <c r="AF80" s="156">
        <f t="shared" si="88"/>
        <v>24.45800624999999</v>
      </c>
      <c r="AG80" s="156">
        <f t="shared" si="88"/>
        <v>23.49886874999999</v>
      </c>
      <c r="AH80" s="156">
        <f t="shared" si="88"/>
        <v>22.539731249999985</v>
      </c>
      <c r="AI80" s="156">
        <f t="shared" si="88"/>
        <v>21.580593749999984</v>
      </c>
      <c r="AJ80" s="156">
        <f t="shared" si="88"/>
        <v>20.621456249999984</v>
      </c>
      <c r="AK80" s="156">
        <f t="shared" si="88"/>
        <v>19.662318749999983</v>
      </c>
      <c r="AL80" s="156">
        <f t="shared" si="88"/>
        <v>18.703181249999982</v>
      </c>
      <c r="AM80" s="156">
        <f t="shared" si="88"/>
        <v>17.74404374999998</v>
      </c>
      <c r="AN80" s="156">
        <f t="shared" si="88"/>
        <v>16.78490624999998</v>
      </c>
      <c r="AO80" s="156">
        <f t="shared" si="88"/>
        <v>15.82576874999998</v>
      </c>
      <c r="AP80" s="156">
        <f t="shared" si="88"/>
        <v>14.866631249999983</v>
      </c>
      <c r="AQ80" s="156">
        <f t="shared" si="88"/>
        <v>13.907493749999986</v>
      </c>
      <c r="AR80" s="156">
        <f t="shared" si="88"/>
        <v>12.94835624999999</v>
      </c>
      <c r="AS80" s="156">
        <f t="shared" si="88"/>
        <v>11.989218749999992</v>
      </c>
      <c r="AT80" s="156">
        <f t="shared" si="88"/>
        <v>11.030081249999997</v>
      </c>
      <c r="AU80" s="156">
        <f t="shared" si="88"/>
        <v>10.07094375</v>
      </c>
      <c r="AV80" s="156">
        <f t="shared" si="88"/>
        <v>9.111806250000003</v>
      </c>
      <c r="AW80" s="156">
        <f t="shared" si="88"/>
        <v>8.152668750000005</v>
      </c>
      <c r="AX80" s="156">
        <f t="shared" si="88"/>
        <v>7.193531250000009</v>
      </c>
      <c r="AY80" s="156">
        <f t="shared" si="88"/>
        <v>6.234393750000013</v>
      </c>
      <c r="AZ80" s="156">
        <f t="shared" si="88"/>
        <v>5.275256250000016</v>
      </c>
      <c r="BA80" s="156">
        <f t="shared" si="88"/>
        <v>4.316118750000019</v>
      </c>
      <c r="BB80" s="156">
        <f t="shared" si="88"/>
        <v>3.3569812500000227</v>
      </c>
      <c r="BC80" s="156">
        <f t="shared" si="88"/>
        <v>2.397843750000026</v>
      </c>
      <c r="BD80" s="156">
        <f t="shared" si="88"/>
        <v>1.4387062500000292</v>
      </c>
      <c r="BE80" s="156">
        <f t="shared" si="88"/>
        <v>0.4795687500000324</v>
      </c>
      <c r="BF80" s="156">
        <f t="shared" si="88"/>
        <v>0</v>
      </c>
      <c r="BG80" s="156">
        <f t="shared" si="88"/>
        <v>0</v>
      </c>
      <c r="BH80" s="156">
        <f t="shared" si="88"/>
        <v>0</v>
      </c>
      <c r="BI80" s="156">
        <f t="shared" si="88"/>
        <v>0</v>
      </c>
      <c r="BJ80" s="156">
        <f t="shared" si="88"/>
        <v>0</v>
      </c>
      <c r="BK80" s="156">
        <f t="shared" si="88"/>
        <v>0</v>
      </c>
      <c r="BL80" s="156">
        <f t="shared" si="88"/>
        <v>0</v>
      </c>
      <c r="BM80" s="156">
        <f t="shared" si="88"/>
        <v>0</v>
      </c>
      <c r="BN80" s="156">
        <f t="shared" si="88"/>
        <v>0</v>
      </c>
      <c r="BO80" s="156">
        <f aca="true" t="shared" si="89" ref="BO80:CY80">BO78+BO79</f>
        <v>0</v>
      </c>
      <c r="BP80" s="156">
        <f t="shared" si="89"/>
        <v>0</v>
      </c>
      <c r="BQ80" s="156">
        <f t="shared" si="89"/>
        <v>0</v>
      </c>
      <c r="BR80" s="156">
        <f t="shared" si="89"/>
        <v>0</v>
      </c>
      <c r="BS80" s="156">
        <f t="shared" si="89"/>
        <v>0</v>
      </c>
      <c r="BT80" s="156">
        <f t="shared" si="89"/>
        <v>0</v>
      </c>
      <c r="BU80" s="156">
        <f t="shared" si="89"/>
        <v>0</v>
      </c>
      <c r="BV80" s="156">
        <f t="shared" si="89"/>
        <v>0</v>
      </c>
      <c r="BW80" s="156">
        <f t="shared" si="89"/>
        <v>0</v>
      </c>
      <c r="BX80" s="156">
        <f t="shared" si="89"/>
        <v>0</v>
      </c>
      <c r="BY80" s="156">
        <f t="shared" si="89"/>
        <v>0</v>
      </c>
      <c r="BZ80" s="156">
        <f t="shared" si="89"/>
        <v>0</v>
      </c>
      <c r="CA80" s="156">
        <f t="shared" si="89"/>
        <v>0</v>
      </c>
      <c r="CB80" s="156">
        <f t="shared" si="89"/>
        <v>0</v>
      </c>
      <c r="CC80" s="156">
        <f t="shared" si="89"/>
        <v>0</v>
      </c>
      <c r="CD80" s="156">
        <f t="shared" si="89"/>
        <v>0</v>
      </c>
      <c r="CE80" s="156">
        <f t="shared" si="89"/>
        <v>0</v>
      </c>
      <c r="CF80" s="156">
        <f t="shared" si="89"/>
        <v>0</v>
      </c>
      <c r="CG80" s="156">
        <f t="shared" si="89"/>
        <v>0</v>
      </c>
      <c r="CH80" s="156">
        <f t="shared" si="89"/>
        <v>0</v>
      </c>
      <c r="CI80" s="156">
        <f t="shared" si="89"/>
        <v>0</v>
      </c>
      <c r="CJ80" s="156">
        <f t="shared" si="89"/>
        <v>0</v>
      </c>
      <c r="CK80" s="156">
        <f t="shared" si="89"/>
        <v>0</v>
      </c>
      <c r="CL80" s="156">
        <f t="shared" si="89"/>
        <v>0</v>
      </c>
      <c r="CM80" s="156">
        <f t="shared" si="89"/>
        <v>0</v>
      </c>
      <c r="CN80" s="156">
        <f t="shared" si="89"/>
        <v>0</v>
      </c>
      <c r="CO80" s="156">
        <f t="shared" si="89"/>
        <v>0</v>
      </c>
      <c r="CP80" s="156">
        <f t="shared" si="89"/>
        <v>0</v>
      </c>
      <c r="CQ80" s="156">
        <f t="shared" si="89"/>
        <v>0</v>
      </c>
      <c r="CR80" s="156">
        <f t="shared" si="89"/>
        <v>0</v>
      </c>
      <c r="CS80" s="156">
        <f t="shared" si="89"/>
        <v>0</v>
      </c>
      <c r="CT80" s="156">
        <f t="shared" si="89"/>
        <v>0</v>
      </c>
      <c r="CU80" s="156">
        <f t="shared" si="89"/>
        <v>0</v>
      </c>
      <c r="CV80" s="156">
        <f t="shared" si="89"/>
        <v>0</v>
      </c>
      <c r="CW80" s="156">
        <f t="shared" si="89"/>
        <v>0</v>
      </c>
      <c r="CX80" s="156">
        <f t="shared" si="89"/>
        <v>0</v>
      </c>
      <c r="CY80" s="156">
        <f t="shared" si="89"/>
        <v>29.25369375</v>
      </c>
      <c r="DA80" s="156">
        <f>MAX(B80:CY80)</f>
        <v>53.23213125</v>
      </c>
      <c r="DB80" s="156">
        <f>MIN(B80:CY80)</f>
        <v>0</v>
      </c>
      <c r="DC80" s="156">
        <f>ABS(DB80)</f>
        <v>0</v>
      </c>
      <c r="DE80" s="156">
        <f>MAX(DA80,DC80)</f>
        <v>53.23213125</v>
      </c>
    </row>
    <row r="82" spans="1:109" ht="11.25">
      <c r="A82" s="156" t="s">
        <v>328</v>
      </c>
      <c r="B82" s="156">
        <f>IF(B16&gt;$B$2,0,$B$9*$B$2*B16^2*((6*$B$2^2)-(4*$B$2*B16)+(B16^2))/(24*$B$7*$B$8*$B$2)*10000000)</f>
        <v>0</v>
      </c>
      <c r="C82" s="156">
        <f aca="true" t="shared" si="90" ref="C82:BN82">IF(C16&gt;$B$2,0,$B$9*$B$2*C16^2*((6*$B$2^2)-(4*$B$2*C16)+(C16^2))/(24*$B$7*$B$8*$B$2)*10000000)</f>
        <v>27.698714781746038</v>
      </c>
      <c r="D82" s="156">
        <f t="shared" si="90"/>
        <v>109.46608531746034</v>
      </c>
      <c r="E82" s="156">
        <f t="shared" si="90"/>
        <v>243.33625446428582</v>
      </c>
      <c r="F82" s="156">
        <f t="shared" si="90"/>
        <v>427.3797698412699</v>
      </c>
      <c r="G82" s="156">
        <f t="shared" si="90"/>
        <v>659.703583829365</v>
      </c>
      <c r="H82" s="156">
        <f t="shared" si="90"/>
        <v>938.4510535714286</v>
      </c>
      <c r="I82" s="156">
        <f t="shared" si="90"/>
        <v>1261.8019409722222</v>
      </c>
      <c r="J82" s="156">
        <f t="shared" si="90"/>
        <v>1627.9724126984122</v>
      </c>
      <c r="K82" s="156">
        <f t="shared" si="90"/>
        <v>2035.215040178571</v>
      </c>
      <c r="L82" s="156">
        <f t="shared" si="90"/>
        <v>2481.8187996031743</v>
      </c>
      <c r="M82" s="156">
        <f t="shared" si="90"/>
        <v>2966.109071924603</v>
      </c>
      <c r="N82" s="156">
        <f t="shared" si="90"/>
        <v>3486.4476428571425</v>
      </c>
      <c r="O82" s="156">
        <f t="shared" si="90"/>
        <v>4041.2327028769837</v>
      </c>
      <c r="P82" s="156">
        <f t="shared" si="90"/>
        <v>4628.898847222223</v>
      </c>
      <c r="Q82" s="156">
        <f t="shared" si="90"/>
        <v>5247.9170758928585</v>
      </c>
      <c r="R82" s="156">
        <f t="shared" si="90"/>
        <v>5896.794793650795</v>
      </c>
      <c r="S82" s="156">
        <f t="shared" si="90"/>
        <v>6574.0758100198445</v>
      </c>
      <c r="T82" s="156">
        <f t="shared" si="90"/>
        <v>7278.340339285716</v>
      </c>
      <c r="U82" s="156">
        <f t="shared" si="90"/>
        <v>8008.205000496037</v>
      </c>
      <c r="V82" s="156">
        <f t="shared" si="90"/>
        <v>8762.322817460321</v>
      </c>
      <c r="W82" s="156">
        <f t="shared" si="90"/>
        <v>9539.383218750003</v>
      </c>
      <c r="X82" s="156">
        <f t="shared" si="90"/>
        <v>10338.112037698418</v>
      </c>
      <c r="Y82" s="156">
        <f t="shared" si="90"/>
        <v>11157.271512400801</v>
      </c>
      <c r="Z82" s="156">
        <f t="shared" si="90"/>
        <v>11995.660285714292</v>
      </c>
      <c r="AA82" s="156">
        <f t="shared" si="90"/>
        <v>12852.113405257942</v>
      </c>
      <c r="AB82" s="156">
        <f t="shared" si="90"/>
        <v>13725.502323412706</v>
      </c>
      <c r="AC82" s="156">
        <f t="shared" si="90"/>
        <v>14614.734897321436</v>
      </c>
      <c r="AD82" s="156">
        <f t="shared" si="90"/>
        <v>15518.755388888898</v>
      </c>
      <c r="AE82" s="156">
        <f t="shared" si="90"/>
        <v>16436.544464781753</v>
      </c>
      <c r="AF82" s="156">
        <f t="shared" si="90"/>
        <v>17367.11919642858</v>
      </c>
      <c r="AG82" s="156">
        <f t="shared" si="90"/>
        <v>18309.53306001985</v>
      </c>
      <c r="AH82" s="156">
        <f t="shared" si="90"/>
        <v>19262.87593650795</v>
      </c>
      <c r="AI82" s="156">
        <f t="shared" si="90"/>
        <v>20226.27411160716</v>
      </c>
      <c r="AJ82" s="156">
        <f t="shared" si="90"/>
        <v>21198.890275793667</v>
      </c>
      <c r="AK82" s="156">
        <f t="shared" si="90"/>
        <v>22179.923524305577</v>
      </c>
      <c r="AL82" s="156">
        <f t="shared" si="90"/>
        <v>23168.609357142872</v>
      </c>
      <c r="AM82" s="156">
        <f t="shared" si="90"/>
        <v>24164.219679067475</v>
      </c>
      <c r="AN82" s="156">
        <f t="shared" si="90"/>
        <v>25166.06279960319</v>
      </c>
      <c r="AO82" s="156">
        <f t="shared" si="90"/>
        <v>26173.483433035737</v>
      </c>
      <c r="AP82" s="156">
        <f t="shared" si="90"/>
        <v>27185.862698412715</v>
      </c>
      <c r="AQ82" s="156">
        <f t="shared" si="90"/>
        <v>28202.618119543666</v>
      </c>
      <c r="AR82" s="156">
        <f t="shared" si="90"/>
        <v>29223.20362500001</v>
      </c>
      <c r="AS82" s="156">
        <f t="shared" si="90"/>
        <v>30247.109548115084</v>
      </c>
      <c r="AT82" s="156">
        <f t="shared" si="90"/>
        <v>31273.862626984126</v>
      </c>
      <c r="AU82" s="156">
        <f t="shared" si="90"/>
        <v>32303.026004464286</v>
      </c>
      <c r="AV82" s="156">
        <f t="shared" si="90"/>
        <v>33334.1992281746</v>
      </c>
      <c r="AW82" s="156">
        <f t="shared" si="90"/>
        <v>34367.018250496025</v>
      </c>
      <c r="AX82" s="156">
        <f t="shared" si="90"/>
        <v>35401.155428571416</v>
      </c>
      <c r="AY82" s="156">
        <f t="shared" si="90"/>
        <v>36436.31952430555</v>
      </c>
      <c r="AZ82" s="156">
        <f t="shared" si="90"/>
        <v>37472.25570436506</v>
      </c>
      <c r="BA82" s="156">
        <f t="shared" si="90"/>
        <v>38508.74554017854</v>
      </c>
      <c r="BB82" s="156">
        <f t="shared" si="90"/>
        <v>39545.60700793648</v>
      </c>
      <c r="BC82" s="156">
        <f t="shared" si="90"/>
        <v>40582.69448859124</v>
      </c>
      <c r="BD82" s="156">
        <f t="shared" si="90"/>
        <v>41619.898767857114</v>
      </c>
      <c r="BE82" s="156">
        <f t="shared" si="90"/>
        <v>42657.14703621028</v>
      </c>
      <c r="BF82" s="156">
        <f t="shared" si="90"/>
        <v>0</v>
      </c>
      <c r="BG82" s="156">
        <f t="shared" si="90"/>
        <v>0</v>
      </c>
      <c r="BH82" s="156">
        <f t="shared" si="90"/>
        <v>0</v>
      </c>
      <c r="BI82" s="156">
        <f t="shared" si="90"/>
        <v>0</v>
      </c>
      <c r="BJ82" s="156">
        <f t="shared" si="90"/>
        <v>0</v>
      </c>
      <c r="BK82" s="156">
        <f t="shared" si="90"/>
        <v>0</v>
      </c>
      <c r="BL82" s="156">
        <f t="shared" si="90"/>
        <v>0</v>
      </c>
      <c r="BM82" s="156">
        <f t="shared" si="90"/>
        <v>0</v>
      </c>
      <c r="BN82" s="156">
        <f t="shared" si="90"/>
        <v>0</v>
      </c>
      <c r="BO82" s="156">
        <f aca="true" t="shared" si="91" ref="BO82:CY82">IF(BO16&gt;$B$2,0,$B$9*$B$2*BO16^2*((6*$B$2^2)-(4*$B$2*BO16)+(BO16^2))/(24*$B$7*$B$8*$B$2)*10000000)</f>
        <v>0</v>
      </c>
      <c r="BP82" s="156">
        <f t="shared" si="91"/>
        <v>0</v>
      </c>
      <c r="BQ82" s="156">
        <f t="shared" si="91"/>
        <v>0</v>
      </c>
      <c r="BR82" s="156">
        <f t="shared" si="91"/>
        <v>0</v>
      </c>
      <c r="BS82" s="156">
        <f t="shared" si="91"/>
        <v>0</v>
      </c>
      <c r="BT82" s="156">
        <f t="shared" si="91"/>
        <v>0</v>
      </c>
      <c r="BU82" s="156">
        <f t="shared" si="91"/>
        <v>0</v>
      </c>
      <c r="BV82" s="156">
        <f t="shared" si="91"/>
        <v>0</v>
      </c>
      <c r="BW82" s="156">
        <f t="shared" si="91"/>
        <v>0</v>
      </c>
      <c r="BX82" s="156">
        <f t="shared" si="91"/>
        <v>0</v>
      </c>
      <c r="BY82" s="156">
        <f t="shared" si="91"/>
        <v>0</v>
      </c>
      <c r="BZ82" s="156">
        <f t="shared" si="91"/>
        <v>0</v>
      </c>
      <c r="CA82" s="156">
        <f t="shared" si="91"/>
        <v>0</v>
      </c>
      <c r="CB82" s="156">
        <f t="shared" si="91"/>
        <v>0</v>
      </c>
      <c r="CC82" s="156">
        <f t="shared" si="91"/>
        <v>0</v>
      </c>
      <c r="CD82" s="156">
        <f t="shared" si="91"/>
        <v>0</v>
      </c>
      <c r="CE82" s="156">
        <f t="shared" si="91"/>
        <v>0</v>
      </c>
      <c r="CF82" s="156">
        <f t="shared" si="91"/>
        <v>0</v>
      </c>
      <c r="CG82" s="156">
        <f t="shared" si="91"/>
        <v>0</v>
      </c>
      <c r="CH82" s="156">
        <f t="shared" si="91"/>
        <v>0</v>
      </c>
      <c r="CI82" s="156">
        <f t="shared" si="91"/>
        <v>0</v>
      </c>
      <c r="CJ82" s="156">
        <f t="shared" si="91"/>
        <v>0</v>
      </c>
      <c r="CK82" s="156">
        <f t="shared" si="91"/>
        <v>0</v>
      </c>
      <c r="CL82" s="156">
        <f t="shared" si="91"/>
        <v>0</v>
      </c>
      <c r="CM82" s="156">
        <f t="shared" si="91"/>
        <v>0</v>
      </c>
      <c r="CN82" s="156">
        <f t="shared" si="91"/>
        <v>0</v>
      </c>
      <c r="CO82" s="156">
        <f t="shared" si="91"/>
        <v>0</v>
      </c>
      <c r="CP82" s="156">
        <f t="shared" si="91"/>
        <v>0</v>
      </c>
      <c r="CQ82" s="156">
        <f t="shared" si="91"/>
        <v>0</v>
      </c>
      <c r="CR82" s="156">
        <f t="shared" si="91"/>
        <v>0</v>
      </c>
      <c r="CS82" s="156">
        <f t="shared" si="91"/>
        <v>0</v>
      </c>
      <c r="CT82" s="156">
        <f t="shared" si="91"/>
        <v>0</v>
      </c>
      <c r="CU82" s="156">
        <f t="shared" si="91"/>
        <v>0</v>
      </c>
      <c r="CV82" s="156">
        <f t="shared" si="91"/>
        <v>0</v>
      </c>
      <c r="CW82" s="156">
        <f t="shared" si="91"/>
        <v>0</v>
      </c>
      <c r="CX82" s="156">
        <f t="shared" si="91"/>
        <v>0</v>
      </c>
      <c r="CY82" s="156">
        <f t="shared" si="91"/>
        <v>12852.113405257935</v>
      </c>
      <c r="DA82" s="156">
        <f>MAX(B82:CY82)</f>
        <v>42657.14703621028</v>
      </c>
      <c r="DB82" s="156">
        <f>MIN(B82:CY82)</f>
        <v>0</v>
      </c>
      <c r="DC82" s="156">
        <f>ABS(DB82)</f>
        <v>0</v>
      </c>
      <c r="DE82" s="156">
        <f>MAX(DA82,DC82)</f>
        <v>42657.14703621028</v>
      </c>
    </row>
    <row r="83" spans="1:109" ht="11.25">
      <c r="A83" s="160" t="s">
        <v>329</v>
      </c>
      <c r="B83" s="156">
        <f>IF(B16&gt;$B$2,0,IF(B16&lt;=$B$5,$B$10*B16^2*((3*$B$5)-B16)/(6*$B$7*$B$8)*10000000,$B$10*$B$5^2*((3*B16)-$B$5)/(6*$B$7*$B$8)*10000000))</f>
        <v>0</v>
      </c>
      <c r="C83" s="156">
        <f>IF(C16&gt;$B$2,0,IF(C16&lt;=$B$5,$B$10*C16^2*((3*$B$5)-C16)/(6*$B$7*$B$8)*10000000,$B$10*$B$5^2*((3*C16)-$B$5)/(6*$B$7*$B$8)*10000000))</f>
        <v>0</v>
      </c>
      <c r="D83" s="156">
        <f aca="true" t="shared" si="92" ref="D83:BN83">IF(D16&gt;$B$2,0,IF(D16&lt;=$B$5,$B$10*D16^2*((3*$B$5)-D16)/(6*$B$7*$B$8)*10000000,$B$10*$B$5^2*((3*D16)-$B$5)/(6*$B$7*$B$8)*10000000))</f>
        <v>0</v>
      </c>
      <c r="E83" s="156">
        <f t="shared" si="92"/>
        <v>0</v>
      </c>
      <c r="F83" s="156">
        <f t="shared" si="92"/>
        <v>0</v>
      </c>
      <c r="G83" s="156">
        <f t="shared" si="92"/>
        <v>0</v>
      </c>
      <c r="H83" s="156">
        <f t="shared" si="92"/>
        <v>0</v>
      </c>
      <c r="I83" s="156">
        <f t="shared" si="92"/>
        <v>0</v>
      </c>
      <c r="J83" s="156">
        <f t="shared" si="92"/>
        <v>0</v>
      </c>
      <c r="K83" s="156">
        <f t="shared" si="92"/>
        <v>0</v>
      </c>
      <c r="L83" s="156">
        <f t="shared" si="92"/>
        <v>0</v>
      </c>
      <c r="M83" s="156">
        <f t="shared" si="92"/>
        <v>0</v>
      </c>
      <c r="N83" s="156">
        <f t="shared" si="92"/>
        <v>0</v>
      </c>
      <c r="O83" s="156">
        <f t="shared" si="92"/>
        <v>0</v>
      </c>
      <c r="P83" s="156">
        <f t="shared" si="92"/>
        <v>0</v>
      </c>
      <c r="Q83" s="156">
        <f t="shared" si="92"/>
        <v>0</v>
      </c>
      <c r="R83" s="156">
        <f t="shared" si="92"/>
        <v>0</v>
      </c>
      <c r="S83" s="156">
        <f t="shared" si="92"/>
        <v>0</v>
      </c>
      <c r="T83" s="156">
        <f t="shared" si="92"/>
        <v>0</v>
      </c>
      <c r="U83" s="156">
        <f t="shared" si="92"/>
        <v>0</v>
      </c>
      <c r="V83" s="156">
        <f t="shared" si="92"/>
        <v>0</v>
      </c>
      <c r="W83" s="156">
        <f t="shared" si="92"/>
        <v>0</v>
      </c>
      <c r="X83" s="156">
        <f t="shared" si="92"/>
        <v>0</v>
      </c>
      <c r="Y83" s="156">
        <f t="shared" si="92"/>
        <v>0</v>
      </c>
      <c r="Z83" s="156">
        <f t="shared" si="92"/>
        <v>0</v>
      </c>
      <c r="AA83" s="156">
        <f t="shared" si="92"/>
        <v>0</v>
      </c>
      <c r="AB83" s="156">
        <f t="shared" si="92"/>
        <v>0</v>
      </c>
      <c r="AC83" s="156">
        <f t="shared" si="92"/>
        <v>0</v>
      </c>
      <c r="AD83" s="156">
        <f t="shared" si="92"/>
        <v>0</v>
      </c>
      <c r="AE83" s="156">
        <f t="shared" si="92"/>
        <v>0</v>
      </c>
      <c r="AF83" s="156">
        <f t="shared" si="92"/>
        <v>0</v>
      </c>
      <c r="AG83" s="156">
        <f t="shared" si="92"/>
        <v>0</v>
      </c>
      <c r="AH83" s="156">
        <f t="shared" si="92"/>
        <v>0</v>
      </c>
      <c r="AI83" s="156">
        <f t="shared" si="92"/>
        <v>0</v>
      </c>
      <c r="AJ83" s="156">
        <f t="shared" si="92"/>
        <v>0</v>
      </c>
      <c r="AK83" s="156">
        <f t="shared" si="92"/>
        <v>0</v>
      </c>
      <c r="AL83" s="156">
        <f t="shared" si="92"/>
        <v>0</v>
      </c>
      <c r="AM83" s="156">
        <f t="shared" si="92"/>
        <v>0</v>
      </c>
      <c r="AN83" s="156">
        <f t="shared" si="92"/>
        <v>0</v>
      </c>
      <c r="AO83" s="156">
        <f t="shared" si="92"/>
        <v>0</v>
      </c>
      <c r="AP83" s="156">
        <f t="shared" si="92"/>
        <v>0</v>
      </c>
      <c r="AQ83" s="156">
        <f t="shared" si="92"/>
        <v>0</v>
      </c>
      <c r="AR83" s="156">
        <f t="shared" si="92"/>
        <v>0</v>
      </c>
      <c r="AS83" s="156">
        <f t="shared" si="92"/>
        <v>0</v>
      </c>
      <c r="AT83" s="156">
        <f t="shared" si="92"/>
        <v>0</v>
      </c>
      <c r="AU83" s="156">
        <f t="shared" si="92"/>
        <v>0</v>
      </c>
      <c r="AV83" s="156">
        <f t="shared" si="92"/>
        <v>0</v>
      </c>
      <c r="AW83" s="156">
        <f t="shared" si="92"/>
        <v>0</v>
      </c>
      <c r="AX83" s="156">
        <f t="shared" si="92"/>
        <v>0</v>
      </c>
      <c r="AY83" s="156">
        <f t="shared" si="92"/>
        <v>0</v>
      </c>
      <c r="AZ83" s="156">
        <f t="shared" si="92"/>
        <v>0</v>
      </c>
      <c r="BA83" s="156">
        <f t="shared" si="92"/>
        <v>0</v>
      </c>
      <c r="BB83" s="156">
        <f t="shared" si="92"/>
        <v>0</v>
      </c>
      <c r="BC83" s="156">
        <f t="shared" si="92"/>
        <v>0</v>
      </c>
      <c r="BD83" s="156">
        <f t="shared" si="92"/>
        <v>0</v>
      </c>
      <c r="BE83" s="156">
        <f t="shared" si="92"/>
        <v>0</v>
      </c>
      <c r="BF83" s="156">
        <f t="shared" si="92"/>
        <v>0</v>
      </c>
      <c r="BG83" s="156">
        <f t="shared" si="92"/>
        <v>0</v>
      </c>
      <c r="BH83" s="156">
        <f t="shared" si="92"/>
        <v>0</v>
      </c>
      <c r="BI83" s="156">
        <f t="shared" si="92"/>
        <v>0</v>
      </c>
      <c r="BJ83" s="156">
        <f t="shared" si="92"/>
        <v>0</v>
      </c>
      <c r="BK83" s="156">
        <f t="shared" si="92"/>
        <v>0</v>
      </c>
      <c r="BL83" s="156">
        <f t="shared" si="92"/>
        <v>0</v>
      </c>
      <c r="BM83" s="156">
        <f t="shared" si="92"/>
        <v>0</v>
      </c>
      <c r="BN83" s="156">
        <f t="shared" si="92"/>
        <v>0</v>
      </c>
      <c r="BO83" s="156">
        <f aca="true" t="shared" si="93" ref="BO83:CY83">IF(BO16&gt;$B$2,0,IF(BO16&lt;=$B$5,$B$10*BO16^2*((3*$B$5)-BO16)/(6*$B$7*$B$8)*10000000,$B$10*$B$5^2*((3*BO16)-$B$5)/(6*$B$7*$B$8)*10000000))</f>
        <v>0</v>
      </c>
      <c r="BP83" s="156">
        <f t="shared" si="93"/>
        <v>0</v>
      </c>
      <c r="BQ83" s="156">
        <f t="shared" si="93"/>
        <v>0</v>
      </c>
      <c r="BR83" s="156">
        <f t="shared" si="93"/>
        <v>0</v>
      </c>
      <c r="BS83" s="156">
        <f t="shared" si="93"/>
        <v>0</v>
      </c>
      <c r="BT83" s="156">
        <f t="shared" si="93"/>
        <v>0</v>
      </c>
      <c r="BU83" s="156">
        <f t="shared" si="93"/>
        <v>0</v>
      </c>
      <c r="BV83" s="156">
        <f t="shared" si="93"/>
        <v>0</v>
      </c>
      <c r="BW83" s="156">
        <f t="shared" si="93"/>
        <v>0</v>
      </c>
      <c r="BX83" s="156">
        <f t="shared" si="93"/>
        <v>0</v>
      </c>
      <c r="BY83" s="156">
        <f t="shared" si="93"/>
        <v>0</v>
      </c>
      <c r="BZ83" s="156">
        <f t="shared" si="93"/>
        <v>0</v>
      </c>
      <c r="CA83" s="156">
        <f t="shared" si="93"/>
        <v>0</v>
      </c>
      <c r="CB83" s="156">
        <f t="shared" si="93"/>
        <v>0</v>
      </c>
      <c r="CC83" s="156">
        <f t="shared" si="93"/>
        <v>0</v>
      </c>
      <c r="CD83" s="156">
        <f t="shared" si="93"/>
        <v>0</v>
      </c>
      <c r="CE83" s="156">
        <f t="shared" si="93"/>
        <v>0</v>
      </c>
      <c r="CF83" s="156">
        <f t="shared" si="93"/>
        <v>0</v>
      </c>
      <c r="CG83" s="156">
        <f t="shared" si="93"/>
        <v>0</v>
      </c>
      <c r="CH83" s="156">
        <f t="shared" si="93"/>
        <v>0</v>
      </c>
      <c r="CI83" s="156">
        <f t="shared" si="93"/>
        <v>0</v>
      </c>
      <c r="CJ83" s="156">
        <f t="shared" si="93"/>
        <v>0</v>
      </c>
      <c r="CK83" s="156">
        <f t="shared" si="93"/>
        <v>0</v>
      </c>
      <c r="CL83" s="156">
        <f t="shared" si="93"/>
        <v>0</v>
      </c>
      <c r="CM83" s="156">
        <f t="shared" si="93"/>
        <v>0</v>
      </c>
      <c r="CN83" s="156">
        <f t="shared" si="93"/>
        <v>0</v>
      </c>
      <c r="CO83" s="156">
        <f t="shared" si="93"/>
        <v>0</v>
      </c>
      <c r="CP83" s="156">
        <f t="shared" si="93"/>
        <v>0</v>
      </c>
      <c r="CQ83" s="156">
        <f t="shared" si="93"/>
        <v>0</v>
      </c>
      <c r="CR83" s="156">
        <f t="shared" si="93"/>
        <v>0</v>
      </c>
      <c r="CS83" s="156">
        <f t="shared" si="93"/>
        <v>0</v>
      </c>
      <c r="CT83" s="156">
        <f t="shared" si="93"/>
        <v>0</v>
      </c>
      <c r="CU83" s="156">
        <f t="shared" si="93"/>
        <v>0</v>
      </c>
      <c r="CV83" s="156">
        <f t="shared" si="93"/>
        <v>0</v>
      </c>
      <c r="CW83" s="156">
        <f t="shared" si="93"/>
        <v>0</v>
      </c>
      <c r="CX83" s="156">
        <f t="shared" si="93"/>
        <v>0</v>
      </c>
      <c r="CY83" s="156">
        <f t="shared" si="93"/>
        <v>0</v>
      </c>
      <c r="DA83" s="156">
        <f>MAX(B83:CY83)</f>
        <v>0</v>
      </c>
      <c r="DB83" s="156">
        <f>MIN(B83:CY83)</f>
        <v>0</v>
      </c>
      <c r="DC83" s="156">
        <f>ABS(DB83)</f>
        <v>0</v>
      </c>
      <c r="DE83" s="156">
        <f>MAX(DA83,DC83)</f>
        <v>0</v>
      </c>
    </row>
    <row r="84" spans="1:109" ht="11.25">
      <c r="A84" s="156" t="s">
        <v>75</v>
      </c>
      <c r="B84" s="156">
        <f>B82+B83</f>
        <v>0</v>
      </c>
      <c r="C84" s="156">
        <f aca="true" t="shared" si="94" ref="C84:BN84">C82+C83</f>
        <v>27.698714781746038</v>
      </c>
      <c r="D84" s="156">
        <f t="shared" si="94"/>
        <v>109.46608531746034</v>
      </c>
      <c r="E84" s="156">
        <f t="shared" si="94"/>
        <v>243.33625446428582</v>
      </c>
      <c r="F84" s="156">
        <f t="shared" si="94"/>
        <v>427.3797698412699</v>
      </c>
      <c r="G84" s="156">
        <f t="shared" si="94"/>
        <v>659.703583829365</v>
      </c>
      <c r="H84" s="156">
        <f t="shared" si="94"/>
        <v>938.4510535714286</v>
      </c>
      <c r="I84" s="156">
        <f t="shared" si="94"/>
        <v>1261.8019409722222</v>
      </c>
      <c r="J84" s="156">
        <f t="shared" si="94"/>
        <v>1627.9724126984122</v>
      </c>
      <c r="K84" s="156">
        <f t="shared" si="94"/>
        <v>2035.215040178571</v>
      </c>
      <c r="L84" s="156">
        <f t="shared" si="94"/>
        <v>2481.8187996031743</v>
      </c>
      <c r="M84" s="156">
        <f t="shared" si="94"/>
        <v>2966.109071924603</v>
      </c>
      <c r="N84" s="156">
        <f t="shared" si="94"/>
        <v>3486.4476428571425</v>
      </c>
      <c r="O84" s="156">
        <f t="shared" si="94"/>
        <v>4041.2327028769837</v>
      </c>
      <c r="P84" s="156">
        <f t="shared" si="94"/>
        <v>4628.898847222223</v>
      </c>
      <c r="Q84" s="156">
        <f t="shared" si="94"/>
        <v>5247.9170758928585</v>
      </c>
      <c r="R84" s="156">
        <f t="shared" si="94"/>
        <v>5896.794793650795</v>
      </c>
      <c r="S84" s="156">
        <f t="shared" si="94"/>
        <v>6574.0758100198445</v>
      </c>
      <c r="T84" s="156">
        <f t="shared" si="94"/>
        <v>7278.340339285716</v>
      </c>
      <c r="U84" s="156">
        <f t="shared" si="94"/>
        <v>8008.205000496037</v>
      </c>
      <c r="V84" s="156">
        <f t="shared" si="94"/>
        <v>8762.322817460321</v>
      </c>
      <c r="W84" s="156">
        <f t="shared" si="94"/>
        <v>9539.383218750003</v>
      </c>
      <c r="X84" s="156">
        <f t="shared" si="94"/>
        <v>10338.112037698418</v>
      </c>
      <c r="Y84" s="156">
        <f t="shared" si="94"/>
        <v>11157.271512400801</v>
      </c>
      <c r="Z84" s="156">
        <f t="shared" si="94"/>
        <v>11995.660285714292</v>
      </c>
      <c r="AA84" s="156">
        <f t="shared" si="94"/>
        <v>12852.113405257942</v>
      </c>
      <c r="AB84" s="156">
        <f t="shared" si="94"/>
        <v>13725.502323412706</v>
      </c>
      <c r="AC84" s="156">
        <f t="shared" si="94"/>
        <v>14614.734897321436</v>
      </c>
      <c r="AD84" s="156">
        <f t="shared" si="94"/>
        <v>15518.755388888898</v>
      </c>
      <c r="AE84" s="156">
        <f t="shared" si="94"/>
        <v>16436.544464781753</v>
      </c>
      <c r="AF84" s="156">
        <f t="shared" si="94"/>
        <v>17367.11919642858</v>
      </c>
      <c r="AG84" s="156">
        <f t="shared" si="94"/>
        <v>18309.53306001985</v>
      </c>
      <c r="AH84" s="156">
        <f t="shared" si="94"/>
        <v>19262.87593650795</v>
      </c>
      <c r="AI84" s="156">
        <f t="shared" si="94"/>
        <v>20226.27411160716</v>
      </c>
      <c r="AJ84" s="156">
        <f t="shared" si="94"/>
        <v>21198.890275793667</v>
      </c>
      <c r="AK84" s="156">
        <f t="shared" si="94"/>
        <v>22179.923524305577</v>
      </c>
      <c r="AL84" s="156">
        <f t="shared" si="94"/>
        <v>23168.609357142872</v>
      </c>
      <c r="AM84" s="156">
        <f t="shared" si="94"/>
        <v>24164.219679067475</v>
      </c>
      <c r="AN84" s="156">
        <f t="shared" si="94"/>
        <v>25166.06279960319</v>
      </c>
      <c r="AO84" s="156">
        <f t="shared" si="94"/>
        <v>26173.483433035737</v>
      </c>
      <c r="AP84" s="156">
        <f t="shared" si="94"/>
        <v>27185.862698412715</v>
      </c>
      <c r="AQ84" s="156">
        <f t="shared" si="94"/>
        <v>28202.618119543666</v>
      </c>
      <c r="AR84" s="156">
        <f t="shared" si="94"/>
        <v>29223.20362500001</v>
      </c>
      <c r="AS84" s="156">
        <f t="shared" si="94"/>
        <v>30247.109548115084</v>
      </c>
      <c r="AT84" s="156">
        <f t="shared" si="94"/>
        <v>31273.862626984126</v>
      </c>
      <c r="AU84" s="156">
        <f t="shared" si="94"/>
        <v>32303.026004464286</v>
      </c>
      <c r="AV84" s="156">
        <f t="shared" si="94"/>
        <v>33334.1992281746</v>
      </c>
      <c r="AW84" s="156">
        <f t="shared" si="94"/>
        <v>34367.018250496025</v>
      </c>
      <c r="AX84" s="156">
        <f t="shared" si="94"/>
        <v>35401.155428571416</v>
      </c>
      <c r="AY84" s="156">
        <f t="shared" si="94"/>
        <v>36436.31952430555</v>
      </c>
      <c r="AZ84" s="156">
        <f t="shared" si="94"/>
        <v>37472.25570436506</v>
      </c>
      <c r="BA84" s="156">
        <f t="shared" si="94"/>
        <v>38508.74554017854</v>
      </c>
      <c r="BB84" s="156">
        <f t="shared" si="94"/>
        <v>39545.60700793648</v>
      </c>
      <c r="BC84" s="156">
        <f t="shared" si="94"/>
        <v>40582.69448859124</v>
      </c>
      <c r="BD84" s="156">
        <f t="shared" si="94"/>
        <v>41619.898767857114</v>
      </c>
      <c r="BE84" s="156">
        <f t="shared" si="94"/>
        <v>42657.14703621028</v>
      </c>
      <c r="BF84" s="156">
        <f t="shared" si="94"/>
        <v>0</v>
      </c>
      <c r="BG84" s="156">
        <f t="shared" si="94"/>
        <v>0</v>
      </c>
      <c r="BH84" s="156">
        <f t="shared" si="94"/>
        <v>0</v>
      </c>
      <c r="BI84" s="156">
        <f t="shared" si="94"/>
        <v>0</v>
      </c>
      <c r="BJ84" s="156">
        <f t="shared" si="94"/>
        <v>0</v>
      </c>
      <c r="BK84" s="156">
        <f t="shared" si="94"/>
        <v>0</v>
      </c>
      <c r="BL84" s="156">
        <f t="shared" si="94"/>
        <v>0</v>
      </c>
      <c r="BM84" s="156">
        <f t="shared" si="94"/>
        <v>0</v>
      </c>
      <c r="BN84" s="156">
        <f t="shared" si="94"/>
        <v>0</v>
      </c>
      <c r="BO84" s="156">
        <f aca="true" t="shared" si="95" ref="BO84:CY84">BO82+BO83</f>
        <v>0</v>
      </c>
      <c r="BP84" s="156">
        <f t="shared" si="95"/>
        <v>0</v>
      </c>
      <c r="BQ84" s="156">
        <f t="shared" si="95"/>
        <v>0</v>
      </c>
      <c r="BR84" s="156">
        <f t="shared" si="95"/>
        <v>0</v>
      </c>
      <c r="BS84" s="156">
        <f t="shared" si="95"/>
        <v>0</v>
      </c>
      <c r="BT84" s="156">
        <f t="shared" si="95"/>
        <v>0</v>
      </c>
      <c r="BU84" s="156">
        <f t="shared" si="95"/>
        <v>0</v>
      </c>
      <c r="BV84" s="156">
        <f t="shared" si="95"/>
        <v>0</v>
      </c>
      <c r="BW84" s="156">
        <f t="shared" si="95"/>
        <v>0</v>
      </c>
      <c r="BX84" s="156">
        <f t="shared" si="95"/>
        <v>0</v>
      </c>
      <c r="BY84" s="156">
        <f t="shared" si="95"/>
        <v>0</v>
      </c>
      <c r="BZ84" s="156">
        <f t="shared" si="95"/>
        <v>0</v>
      </c>
      <c r="CA84" s="156">
        <f t="shared" si="95"/>
        <v>0</v>
      </c>
      <c r="CB84" s="156">
        <f t="shared" si="95"/>
        <v>0</v>
      </c>
      <c r="CC84" s="156">
        <f t="shared" si="95"/>
        <v>0</v>
      </c>
      <c r="CD84" s="156">
        <f t="shared" si="95"/>
        <v>0</v>
      </c>
      <c r="CE84" s="156">
        <f t="shared" si="95"/>
        <v>0</v>
      </c>
      <c r="CF84" s="156">
        <f t="shared" si="95"/>
        <v>0</v>
      </c>
      <c r="CG84" s="156">
        <f t="shared" si="95"/>
        <v>0</v>
      </c>
      <c r="CH84" s="156">
        <f t="shared" si="95"/>
        <v>0</v>
      </c>
      <c r="CI84" s="156">
        <f t="shared" si="95"/>
        <v>0</v>
      </c>
      <c r="CJ84" s="156">
        <f t="shared" si="95"/>
        <v>0</v>
      </c>
      <c r="CK84" s="156">
        <f t="shared" si="95"/>
        <v>0</v>
      </c>
      <c r="CL84" s="156">
        <f t="shared" si="95"/>
        <v>0</v>
      </c>
      <c r="CM84" s="156">
        <f t="shared" si="95"/>
        <v>0</v>
      </c>
      <c r="CN84" s="156">
        <f t="shared" si="95"/>
        <v>0</v>
      </c>
      <c r="CO84" s="156">
        <f t="shared" si="95"/>
        <v>0</v>
      </c>
      <c r="CP84" s="156">
        <f t="shared" si="95"/>
        <v>0</v>
      </c>
      <c r="CQ84" s="156">
        <f t="shared" si="95"/>
        <v>0</v>
      </c>
      <c r="CR84" s="156">
        <f t="shared" si="95"/>
        <v>0</v>
      </c>
      <c r="CS84" s="156">
        <f t="shared" si="95"/>
        <v>0</v>
      </c>
      <c r="CT84" s="156">
        <f t="shared" si="95"/>
        <v>0</v>
      </c>
      <c r="CU84" s="156">
        <f t="shared" si="95"/>
        <v>0</v>
      </c>
      <c r="CV84" s="156">
        <f t="shared" si="95"/>
        <v>0</v>
      </c>
      <c r="CW84" s="156">
        <f t="shared" si="95"/>
        <v>0</v>
      </c>
      <c r="CX84" s="156">
        <f t="shared" si="95"/>
        <v>0</v>
      </c>
      <c r="CY84" s="156">
        <f t="shared" si="95"/>
        <v>12852.113405257935</v>
      </c>
      <c r="DA84" s="156">
        <f>MAX(B84:CY84)</f>
        <v>42657.14703621028</v>
      </c>
      <c r="DB84" s="156">
        <f>MIN(B84:CY84)</f>
        <v>0</v>
      </c>
      <c r="DC84" s="156">
        <f>ABS(DB84)</f>
        <v>0</v>
      </c>
      <c r="DE84" s="156">
        <f>MAX(DA84,DC84)</f>
        <v>42657.14703621028</v>
      </c>
    </row>
    <row r="86" spans="1:109" ht="11.25">
      <c r="A86" s="156" t="s">
        <v>340</v>
      </c>
      <c r="B86" s="156">
        <f>IF(B16&gt;$B$2,0,$B$9*$B$2*B16^2*((6*$B$2^2)-(4*$B$2*B16)+(B16^2))/(24*$B$7*$B$12*$B$2)*10000000)</f>
        <v>0</v>
      </c>
      <c r="C86" s="156">
        <f aca="true" t="shared" si="96" ref="C86:BN86">IF(C16&gt;$B$2,0,$B$9*$B$2*C16^2*((6*$B$2^2)-(4*$B$2*C16)+(C16^2))/(24*$B$7*$B$12*$B$2)*10000000)</f>
        <v>0.029944556520806524</v>
      </c>
      <c r="D86" s="156">
        <f t="shared" si="96"/>
        <v>0.11834171385671388</v>
      </c>
      <c r="E86" s="156">
        <f t="shared" si="96"/>
        <v>0.2630662210424711</v>
      </c>
      <c r="F86" s="156">
        <f t="shared" si="96"/>
        <v>0.4620321836121837</v>
      </c>
      <c r="G86" s="156">
        <f t="shared" si="96"/>
        <v>0.7131930635993136</v>
      </c>
      <c r="H86" s="156">
        <f t="shared" si="96"/>
        <v>1.0145416795366797</v>
      </c>
      <c r="I86" s="156">
        <f t="shared" si="96"/>
        <v>1.3641102064564563</v>
      </c>
      <c r="J86" s="156">
        <f t="shared" si="96"/>
        <v>1.7599701758901756</v>
      </c>
      <c r="K86" s="156">
        <f t="shared" si="96"/>
        <v>2.2002324758687255</v>
      </c>
      <c r="L86" s="156">
        <f t="shared" si="96"/>
        <v>2.683047350922351</v>
      </c>
      <c r="M86" s="156">
        <f t="shared" si="96"/>
        <v>3.206604402080652</v>
      </c>
      <c r="N86" s="156">
        <f t="shared" si="96"/>
        <v>3.769132586872587</v>
      </c>
      <c r="O86" s="156">
        <f t="shared" si="96"/>
        <v>4.368900219326469</v>
      </c>
      <c r="P86" s="156">
        <f t="shared" si="96"/>
        <v>5.004214969969971</v>
      </c>
      <c r="Q86" s="156">
        <f t="shared" si="96"/>
        <v>5.673423865830117</v>
      </c>
      <c r="R86" s="156">
        <f t="shared" si="96"/>
        <v>6.374913290433293</v>
      </c>
      <c r="S86" s="156">
        <f t="shared" si="96"/>
        <v>7.107108983805237</v>
      </c>
      <c r="T86" s="156">
        <f t="shared" si="96"/>
        <v>7.868476042471046</v>
      </c>
      <c r="U86" s="156">
        <f t="shared" si="96"/>
        <v>8.657518919455176</v>
      </c>
      <c r="V86" s="156">
        <f t="shared" si="96"/>
        <v>9.472781424281429</v>
      </c>
      <c r="W86" s="156">
        <f t="shared" si="96"/>
        <v>10.312846722972976</v>
      </c>
      <c r="X86" s="156">
        <f t="shared" si="96"/>
        <v>11.176337338052344</v>
      </c>
      <c r="Y86" s="156">
        <f t="shared" si="96"/>
        <v>12.061915148541406</v>
      </c>
      <c r="Z86" s="156">
        <f t="shared" si="96"/>
        <v>12.968281389961396</v>
      </c>
      <c r="AA86" s="156">
        <f t="shared" si="96"/>
        <v>13.89417665433291</v>
      </c>
      <c r="AB86" s="156">
        <f t="shared" si="96"/>
        <v>14.838380890175898</v>
      </c>
      <c r="AC86" s="156">
        <f t="shared" si="96"/>
        <v>15.799713402509658</v>
      </c>
      <c r="AD86" s="156">
        <f t="shared" si="96"/>
        <v>16.777032852852862</v>
      </c>
      <c r="AE86" s="156">
        <f t="shared" si="96"/>
        <v>17.76923725922352</v>
      </c>
      <c r="AF86" s="156">
        <f t="shared" si="96"/>
        <v>18.775263996139003</v>
      </c>
      <c r="AG86" s="156">
        <f t="shared" si="96"/>
        <v>19.794089794616056</v>
      </c>
      <c r="AH86" s="156">
        <f t="shared" si="96"/>
        <v>20.824730742170757</v>
      </c>
      <c r="AI86" s="156">
        <f t="shared" si="96"/>
        <v>21.86624228281855</v>
      </c>
      <c r="AJ86" s="156">
        <f t="shared" si="96"/>
        <v>22.917719217074232</v>
      </c>
      <c r="AK86" s="156">
        <f t="shared" si="96"/>
        <v>23.978295701951975</v>
      </c>
      <c r="AL86" s="156">
        <f t="shared" si="96"/>
        <v>25.047145250965265</v>
      </c>
      <c r="AM86" s="156">
        <f t="shared" si="96"/>
        <v>26.123480734127</v>
      </c>
      <c r="AN86" s="156">
        <f t="shared" si="96"/>
        <v>27.206554377949395</v>
      </c>
      <c r="AO86" s="156">
        <f t="shared" si="96"/>
        <v>28.29565776544404</v>
      </c>
      <c r="AP86" s="156">
        <f t="shared" si="96"/>
        <v>29.390121836121853</v>
      </c>
      <c r="AQ86" s="156">
        <f t="shared" si="96"/>
        <v>30.489316885993155</v>
      </c>
      <c r="AR86" s="156">
        <f t="shared" si="96"/>
        <v>31.592652567567576</v>
      </c>
      <c r="AS86" s="156">
        <f t="shared" si="96"/>
        <v>32.69957788985414</v>
      </c>
      <c r="AT86" s="156">
        <f t="shared" si="96"/>
        <v>33.80958121836122</v>
      </c>
      <c r="AU86" s="156">
        <f t="shared" si="96"/>
        <v>34.922190275096526</v>
      </c>
      <c r="AV86" s="156">
        <f t="shared" si="96"/>
        <v>36.03697213856713</v>
      </c>
      <c r="AW86" s="156">
        <f t="shared" si="96"/>
        <v>37.153533243779485</v>
      </c>
      <c r="AX86" s="156">
        <f t="shared" si="96"/>
        <v>38.27151938223936</v>
      </c>
      <c r="AY86" s="156">
        <f t="shared" si="96"/>
        <v>39.39061570195195</v>
      </c>
      <c r="AZ86" s="156">
        <f t="shared" si="96"/>
        <v>40.51054670742169</v>
      </c>
      <c r="BA86" s="156">
        <f t="shared" si="96"/>
        <v>41.63107625965248</v>
      </c>
      <c r="BB86" s="156">
        <f t="shared" si="96"/>
        <v>42.75200757614755</v>
      </c>
      <c r="BC86" s="156">
        <f t="shared" si="96"/>
        <v>43.87318323090945</v>
      </c>
      <c r="BD86" s="156">
        <f t="shared" si="96"/>
        <v>44.99448515444012</v>
      </c>
      <c r="BE86" s="156">
        <f t="shared" si="96"/>
        <v>46.115834633740846</v>
      </c>
      <c r="BF86" s="156">
        <f t="shared" si="96"/>
        <v>0</v>
      </c>
      <c r="BG86" s="156">
        <f t="shared" si="96"/>
        <v>0</v>
      </c>
      <c r="BH86" s="156">
        <f t="shared" si="96"/>
        <v>0</v>
      </c>
      <c r="BI86" s="156">
        <f t="shared" si="96"/>
        <v>0</v>
      </c>
      <c r="BJ86" s="156">
        <f t="shared" si="96"/>
        <v>0</v>
      </c>
      <c r="BK86" s="156">
        <f t="shared" si="96"/>
        <v>0</v>
      </c>
      <c r="BL86" s="156">
        <f t="shared" si="96"/>
        <v>0</v>
      </c>
      <c r="BM86" s="156">
        <f t="shared" si="96"/>
        <v>0</v>
      </c>
      <c r="BN86" s="156">
        <f t="shared" si="96"/>
        <v>0</v>
      </c>
      <c r="BO86" s="156">
        <f aca="true" t="shared" si="97" ref="BO86:CY86">IF(BO16&gt;$B$2,0,$B$9*$B$2*BO16^2*((6*$B$2^2)-(4*$B$2*BO16)+(BO16^2))/(24*$B$7*$B$12*$B$2)*10000000)</f>
        <v>0</v>
      </c>
      <c r="BP86" s="156">
        <f t="shared" si="97"/>
        <v>0</v>
      </c>
      <c r="BQ86" s="156">
        <f t="shared" si="97"/>
        <v>0</v>
      </c>
      <c r="BR86" s="156">
        <f t="shared" si="97"/>
        <v>0</v>
      </c>
      <c r="BS86" s="156">
        <f t="shared" si="97"/>
        <v>0</v>
      </c>
      <c r="BT86" s="156">
        <f t="shared" si="97"/>
        <v>0</v>
      </c>
      <c r="BU86" s="156">
        <f t="shared" si="97"/>
        <v>0</v>
      </c>
      <c r="BV86" s="156">
        <f t="shared" si="97"/>
        <v>0</v>
      </c>
      <c r="BW86" s="156">
        <f t="shared" si="97"/>
        <v>0</v>
      </c>
      <c r="BX86" s="156">
        <f t="shared" si="97"/>
        <v>0</v>
      </c>
      <c r="BY86" s="156">
        <f t="shared" si="97"/>
        <v>0</v>
      </c>
      <c r="BZ86" s="156">
        <f t="shared" si="97"/>
        <v>0</v>
      </c>
      <c r="CA86" s="156">
        <f t="shared" si="97"/>
        <v>0</v>
      </c>
      <c r="CB86" s="156">
        <f t="shared" si="97"/>
        <v>0</v>
      </c>
      <c r="CC86" s="156">
        <f t="shared" si="97"/>
        <v>0</v>
      </c>
      <c r="CD86" s="156">
        <f t="shared" si="97"/>
        <v>0</v>
      </c>
      <c r="CE86" s="156">
        <f t="shared" si="97"/>
        <v>0</v>
      </c>
      <c r="CF86" s="156">
        <f t="shared" si="97"/>
        <v>0</v>
      </c>
      <c r="CG86" s="156">
        <f t="shared" si="97"/>
        <v>0</v>
      </c>
      <c r="CH86" s="156">
        <f t="shared" si="97"/>
        <v>0</v>
      </c>
      <c r="CI86" s="156">
        <f t="shared" si="97"/>
        <v>0</v>
      </c>
      <c r="CJ86" s="156">
        <f t="shared" si="97"/>
        <v>0</v>
      </c>
      <c r="CK86" s="156">
        <f t="shared" si="97"/>
        <v>0</v>
      </c>
      <c r="CL86" s="156">
        <f t="shared" si="97"/>
        <v>0</v>
      </c>
      <c r="CM86" s="156">
        <f t="shared" si="97"/>
        <v>0</v>
      </c>
      <c r="CN86" s="156">
        <f t="shared" si="97"/>
        <v>0</v>
      </c>
      <c r="CO86" s="156">
        <f t="shared" si="97"/>
        <v>0</v>
      </c>
      <c r="CP86" s="156">
        <f t="shared" si="97"/>
        <v>0</v>
      </c>
      <c r="CQ86" s="156">
        <f t="shared" si="97"/>
        <v>0</v>
      </c>
      <c r="CR86" s="156">
        <f t="shared" si="97"/>
        <v>0</v>
      </c>
      <c r="CS86" s="156">
        <f t="shared" si="97"/>
        <v>0</v>
      </c>
      <c r="CT86" s="156">
        <f t="shared" si="97"/>
        <v>0</v>
      </c>
      <c r="CU86" s="156">
        <f t="shared" si="97"/>
        <v>0</v>
      </c>
      <c r="CV86" s="156">
        <f t="shared" si="97"/>
        <v>0</v>
      </c>
      <c r="CW86" s="156">
        <f t="shared" si="97"/>
        <v>0</v>
      </c>
      <c r="CX86" s="156">
        <f t="shared" si="97"/>
        <v>0</v>
      </c>
      <c r="CY86" s="156">
        <f t="shared" si="97"/>
        <v>13.894176654332902</v>
      </c>
      <c r="DA86" s="156">
        <f>MAX(B86:CY86)</f>
        <v>46.115834633740846</v>
      </c>
      <c r="DB86" s="156">
        <f>MIN(B86:CY86)</f>
        <v>0</v>
      </c>
      <c r="DC86" s="156">
        <f>ABS(DB86)</f>
        <v>0</v>
      </c>
      <c r="DE86" s="156">
        <f>MAX(DA86,DC86)</f>
        <v>46.115834633740846</v>
      </c>
    </row>
    <row r="87" spans="1:109" ht="11.25">
      <c r="A87" s="156" t="s">
        <v>341</v>
      </c>
      <c r="B87" s="156">
        <f>IF(B16&gt;$B$2,0,IF(B16&lt;=$B$5,$B$10*B16^2*((3*$B$5)-B16)/(6*$B$7*$B$12)*10000000,$B$10*$B$5^2*((3*B16)-$B$5)/(6*$B$7*$B$12)*10000000))</f>
        <v>0</v>
      </c>
      <c r="C87" s="156">
        <f aca="true" t="shared" si="98" ref="C87:BN87">IF(C16&gt;$B$2,0,IF(C16&lt;=$B$5,$B$10*C16^2*((3*$B$5)-C16)/(6*$B$7*$B$12)*10000000,$B$10*$B$5^2*((3*C16)-$B$5)/(6*$B$7*$B$12)*10000000))</f>
        <v>0</v>
      </c>
      <c r="D87" s="156">
        <f t="shared" si="98"/>
        <v>0</v>
      </c>
      <c r="E87" s="156">
        <f t="shared" si="98"/>
        <v>0</v>
      </c>
      <c r="F87" s="156">
        <f t="shared" si="98"/>
        <v>0</v>
      </c>
      <c r="G87" s="156">
        <f t="shared" si="98"/>
        <v>0</v>
      </c>
      <c r="H87" s="156">
        <f t="shared" si="98"/>
        <v>0</v>
      </c>
      <c r="I87" s="156">
        <f t="shared" si="98"/>
        <v>0</v>
      </c>
      <c r="J87" s="156">
        <f t="shared" si="98"/>
        <v>0</v>
      </c>
      <c r="K87" s="156">
        <f t="shared" si="98"/>
        <v>0</v>
      </c>
      <c r="L87" s="156">
        <f t="shared" si="98"/>
        <v>0</v>
      </c>
      <c r="M87" s="156">
        <f t="shared" si="98"/>
        <v>0</v>
      </c>
      <c r="N87" s="156">
        <f t="shared" si="98"/>
        <v>0</v>
      </c>
      <c r="O87" s="156">
        <f t="shared" si="98"/>
        <v>0</v>
      </c>
      <c r="P87" s="156">
        <f t="shared" si="98"/>
        <v>0</v>
      </c>
      <c r="Q87" s="156">
        <f t="shared" si="98"/>
        <v>0</v>
      </c>
      <c r="R87" s="156">
        <f t="shared" si="98"/>
        <v>0</v>
      </c>
      <c r="S87" s="156">
        <f t="shared" si="98"/>
        <v>0</v>
      </c>
      <c r="T87" s="156">
        <f t="shared" si="98"/>
        <v>0</v>
      </c>
      <c r="U87" s="156">
        <f t="shared" si="98"/>
        <v>0</v>
      </c>
      <c r="V87" s="156">
        <f t="shared" si="98"/>
        <v>0</v>
      </c>
      <c r="W87" s="156">
        <f t="shared" si="98"/>
        <v>0</v>
      </c>
      <c r="X87" s="156">
        <f t="shared" si="98"/>
        <v>0</v>
      </c>
      <c r="Y87" s="156">
        <f t="shared" si="98"/>
        <v>0</v>
      </c>
      <c r="Z87" s="156">
        <f t="shared" si="98"/>
        <v>0</v>
      </c>
      <c r="AA87" s="156">
        <f t="shared" si="98"/>
        <v>0</v>
      </c>
      <c r="AB87" s="156">
        <f t="shared" si="98"/>
        <v>0</v>
      </c>
      <c r="AC87" s="156">
        <f t="shared" si="98"/>
        <v>0</v>
      </c>
      <c r="AD87" s="156">
        <f t="shared" si="98"/>
        <v>0</v>
      </c>
      <c r="AE87" s="156">
        <f t="shared" si="98"/>
        <v>0</v>
      </c>
      <c r="AF87" s="156">
        <f t="shared" si="98"/>
        <v>0</v>
      </c>
      <c r="AG87" s="156">
        <f t="shared" si="98"/>
        <v>0</v>
      </c>
      <c r="AH87" s="156">
        <f t="shared" si="98"/>
        <v>0</v>
      </c>
      <c r="AI87" s="156">
        <f t="shared" si="98"/>
        <v>0</v>
      </c>
      <c r="AJ87" s="156">
        <f t="shared" si="98"/>
        <v>0</v>
      </c>
      <c r="AK87" s="156">
        <f t="shared" si="98"/>
        <v>0</v>
      </c>
      <c r="AL87" s="156">
        <f t="shared" si="98"/>
        <v>0</v>
      </c>
      <c r="AM87" s="156">
        <f t="shared" si="98"/>
        <v>0</v>
      </c>
      <c r="AN87" s="156">
        <f t="shared" si="98"/>
        <v>0</v>
      </c>
      <c r="AO87" s="156">
        <f t="shared" si="98"/>
        <v>0</v>
      </c>
      <c r="AP87" s="156">
        <f t="shared" si="98"/>
        <v>0</v>
      </c>
      <c r="AQ87" s="156">
        <f t="shared" si="98"/>
        <v>0</v>
      </c>
      <c r="AR87" s="156">
        <f t="shared" si="98"/>
        <v>0</v>
      </c>
      <c r="AS87" s="156">
        <f t="shared" si="98"/>
        <v>0</v>
      </c>
      <c r="AT87" s="156">
        <f t="shared" si="98"/>
        <v>0</v>
      </c>
      <c r="AU87" s="156">
        <f t="shared" si="98"/>
        <v>0</v>
      </c>
      <c r="AV87" s="156">
        <f t="shared" si="98"/>
        <v>0</v>
      </c>
      <c r="AW87" s="156">
        <f t="shared" si="98"/>
        <v>0</v>
      </c>
      <c r="AX87" s="156">
        <f t="shared" si="98"/>
        <v>0</v>
      </c>
      <c r="AY87" s="156">
        <f t="shared" si="98"/>
        <v>0</v>
      </c>
      <c r="AZ87" s="156">
        <f t="shared" si="98"/>
        <v>0</v>
      </c>
      <c r="BA87" s="156">
        <f t="shared" si="98"/>
        <v>0</v>
      </c>
      <c r="BB87" s="156">
        <f t="shared" si="98"/>
        <v>0</v>
      </c>
      <c r="BC87" s="156">
        <f t="shared" si="98"/>
        <v>0</v>
      </c>
      <c r="BD87" s="156">
        <f t="shared" si="98"/>
        <v>0</v>
      </c>
      <c r="BE87" s="156">
        <f t="shared" si="98"/>
        <v>0</v>
      </c>
      <c r="BF87" s="156">
        <f t="shared" si="98"/>
        <v>0</v>
      </c>
      <c r="BG87" s="156">
        <f t="shared" si="98"/>
        <v>0</v>
      </c>
      <c r="BH87" s="156">
        <f t="shared" si="98"/>
        <v>0</v>
      </c>
      <c r="BI87" s="156">
        <f t="shared" si="98"/>
        <v>0</v>
      </c>
      <c r="BJ87" s="156">
        <f t="shared" si="98"/>
        <v>0</v>
      </c>
      <c r="BK87" s="156">
        <f t="shared" si="98"/>
        <v>0</v>
      </c>
      <c r="BL87" s="156">
        <f t="shared" si="98"/>
        <v>0</v>
      </c>
      <c r="BM87" s="156">
        <f t="shared" si="98"/>
        <v>0</v>
      </c>
      <c r="BN87" s="156">
        <f t="shared" si="98"/>
        <v>0</v>
      </c>
      <c r="BO87" s="156">
        <f aca="true" t="shared" si="99" ref="BO87:CY87">IF(BO16&gt;$B$2,0,IF(BO16&lt;=$B$5,$B$10*BO16^2*((3*$B$5)-BO16)/(6*$B$7*$B$12)*10000000,$B$10*$B$5^2*((3*BO16)-$B$5)/(6*$B$7*$B$12)*10000000))</f>
        <v>0</v>
      </c>
      <c r="BP87" s="156">
        <f t="shared" si="99"/>
        <v>0</v>
      </c>
      <c r="BQ87" s="156">
        <f t="shared" si="99"/>
        <v>0</v>
      </c>
      <c r="BR87" s="156">
        <f t="shared" si="99"/>
        <v>0</v>
      </c>
      <c r="BS87" s="156">
        <f t="shared" si="99"/>
        <v>0</v>
      </c>
      <c r="BT87" s="156">
        <f t="shared" si="99"/>
        <v>0</v>
      </c>
      <c r="BU87" s="156">
        <f t="shared" si="99"/>
        <v>0</v>
      </c>
      <c r="BV87" s="156">
        <f t="shared" si="99"/>
        <v>0</v>
      </c>
      <c r="BW87" s="156">
        <f t="shared" si="99"/>
        <v>0</v>
      </c>
      <c r="BX87" s="156">
        <f t="shared" si="99"/>
        <v>0</v>
      </c>
      <c r="BY87" s="156">
        <f t="shared" si="99"/>
        <v>0</v>
      </c>
      <c r="BZ87" s="156">
        <f t="shared" si="99"/>
        <v>0</v>
      </c>
      <c r="CA87" s="156">
        <f t="shared" si="99"/>
        <v>0</v>
      </c>
      <c r="CB87" s="156">
        <f t="shared" si="99"/>
        <v>0</v>
      </c>
      <c r="CC87" s="156">
        <f t="shared" si="99"/>
        <v>0</v>
      </c>
      <c r="CD87" s="156">
        <f t="shared" si="99"/>
        <v>0</v>
      </c>
      <c r="CE87" s="156">
        <f t="shared" si="99"/>
        <v>0</v>
      </c>
      <c r="CF87" s="156">
        <f t="shared" si="99"/>
        <v>0</v>
      </c>
      <c r="CG87" s="156">
        <f t="shared" si="99"/>
        <v>0</v>
      </c>
      <c r="CH87" s="156">
        <f t="shared" si="99"/>
        <v>0</v>
      </c>
      <c r="CI87" s="156">
        <f t="shared" si="99"/>
        <v>0</v>
      </c>
      <c r="CJ87" s="156">
        <f t="shared" si="99"/>
        <v>0</v>
      </c>
      <c r="CK87" s="156">
        <f t="shared" si="99"/>
        <v>0</v>
      </c>
      <c r="CL87" s="156">
        <f t="shared" si="99"/>
        <v>0</v>
      </c>
      <c r="CM87" s="156">
        <f t="shared" si="99"/>
        <v>0</v>
      </c>
      <c r="CN87" s="156">
        <f t="shared" si="99"/>
        <v>0</v>
      </c>
      <c r="CO87" s="156">
        <f t="shared" si="99"/>
        <v>0</v>
      </c>
      <c r="CP87" s="156">
        <f t="shared" si="99"/>
        <v>0</v>
      </c>
      <c r="CQ87" s="156">
        <f t="shared" si="99"/>
        <v>0</v>
      </c>
      <c r="CR87" s="156">
        <f t="shared" si="99"/>
        <v>0</v>
      </c>
      <c r="CS87" s="156">
        <f t="shared" si="99"/>
        <v>0</v>
      </c>
      <c r="CT87" s="156">
        <f t="shared" si="99"/>
        <v>0</v>
      </c>
      <c r="CU87" s="156">
        <f t="shared" si="99"/>
        <v>0</v>
      </c>
      <c r="CV87" s="156">
        <f t="shared" si="99"/>
        <v>0</v>
      </c>
      <c r="CW87" s="156">
        <f t="shared" si="99"/>
        <v>0</v>
      </c>
      <c r="CX87" s="156">
        <f t="shared" si="99"/>
        <v>0</v>
      </c>
      <c r="CY87" s="156">
        <f t="shared" si="99"/>
        <v>0</v>
      </c>
      <c r="DA87" s="156">
        <f>MAX(B87:CY87)</f>
        <v>0</v>
      </c>
      <c r="DB87" s="156">
        <f>MIN(B87:CY87)</f>
        <v>0</v>
      </c>
      <c r="DC87" s="156">
        <f>ABS(DB87)</f>
        <v>0</v>
      </c>
      <c r="DE87" s="156">
        <f>MAX(DA87,DC87)</f>
        <v>0</v>
      </c>
    </row>
    <row r="88" spans="1:109" ht="11.25">
      <c r="A88" s="156" t="s">
        <v>75</v>
      </c>
      <c r="B88" s="156">
        <f>B86+B87</f>
        <v>0</v>
      </c>
      <c r="C88" s="156">
        <f aca="true" t="shared" si="100" ref="C88:BN88">C86+C87</f>
        <v>0.029944556520806524</v>
      </c>
      <c r="D88" s="156">
        <f t="shared" si="100"/>
        <v>0.11834171385671388</v>
      </c>
      <c r="E88" s="156">
        <f t="shared" si="100"/>
        <v>0.2630662210424711</v>
      </c>
      <c r="F88" s="156">
        <f t="shared" si="100"/>
        <v>0.4620321836121837</v>
      </c>
      <c r="G88" s="156">
        <f t="shared" si="100"/>
        <v>0.7131930635993136</v>
      </c>
      <c r="H88" s="156">
        <f t="shared" si="100"/>
        <v>1.0145416795366797</v>
      </c>
      <c r="I88" s="156">
        <f t="shared" si="100"/>
        <v>1.3641102064564563</v>
      </c>
      <c r="J88" s="156">
        <f t="shared" si="100"/>
        <v>1.7599701758901756</v>
      </c>
      <c r="K88" s="156">
        <f t="shared" si="100"/>
        <v>2.2002324758687255</v>
      </c>
      <c r="L88" s="156">
        <f t="shared" si="100"/>
        <v>2.683047350922351</v>
      </c>
      <c r="M88" s="156">
        <f t="shared" si="100"/>
        <v>3.206604402080652</v>
      </c>
      <c r="N88" s="156">
        <f t="shared" si="100"/>
        <v>3.769132586872587</v>
      </c>
      <c r="O88" s="156">
        <f t="shared" si="100"/>
        <v>4.368900219326469</v>
      </c>
      <c r="P88" s="156">
        <f t="shared" si="100"/>
        <v>5.004214969969971</v>
      </c>
      <c r="Q88" s="156">
        <f t="shared" si="100"/>
        <v>5.673423865830117</v>
      </c>
      <c r="R88" s="156">
        <f t="shared" si="100"/>
        <v>6.374913290433293</v>
      </c>
      <c r="S88" s="156">
        <f t="shared" si="100"/>
        <v>7.107108983805237</v>
      </c>
      <c r="T88" s="156">
        <f t="shared" si="100"/>
        <v>7.868476042471046</v>
      </c>
      <c r="U88" s="156">
        <f t="shared" si="100"/>
        <v>8.657518919455176</v>
      </c>
      <c r="V88" s="156">
        <f t="shared" si="100"/>
        <v>9.472781424281429</v>
      </c>
      <c r="W88" s="156">
        <f t="shared" si="100"/>
        <v>10.312846722972976</v>
      </c>
      <c r="X88" s="156">
        <f t="shared" si="100"/>
        <v>11.176337338052344</v>
      </c>
      <c r="Y88" s="156">
        <f t="shared" si="100"/>
        <v>12.061915148541406</v>
      </c>
      <c r="Z88" s="156">
        <f t="shared" si="100"/>
        <v>12.968281389961396</v>
      </c>
      <c r="AA88" s="156">
        <f t="shared" si="100"/>
        <v>13.89417665433291</v>
      </c>
      <c r="AB88" s="156">
        <f t="shared" si="100"/>
        <v>14.838380890175898</v>
      </c>
      <c r="AC88" s="156">
        <f t="shared" si="100"/>
        <v>15.799713402509658</v>
      </c>
      <c r="AD88" s="156">
        <f t="shared" si="100"/>
        <v>16.777032852852862</v>
      </c>
      <c r="AE88" s="156">
        <f t="shared" si="100"/>
        <v>17.76923725922352</v>
      </c>
      <c r="AF88" s="156">
        <f t="shared" si="100"/>
        <v>18.775263996139003</v>
      </c>
      <c r="AG88" s="156">
        <f t="shared" si="100"/>
        <v>19.794089794616056</v>
      </c>
      <c r="AH88" s="156">
        <f t="shared" si="100"/>
        <v>20.824730742170757</v>
      </c>
      <c r="AI88" s="156">
        <f t="shared" si="100"/>
        <v>21.86624228281855</v>
      </c>
      <c r="AJ88" s="156">
        <f t="shared" si="100"/>
        <v>22.917719217074232</v>
      </c>
      <c r="AK88" s="156">
        <f t="shared" si="100"/>
        <v>23.978295701951975</v>
      </c>
      <c r="AL88" s="156">
        <f t="shared" si="100"/>
        <v>25.047145250965265</v>
      </c>
      <c r="AM88" s="156">
        <f t="shared" si="100"/>
        <v>26.123480734127</v>
      </c>
      <c r="AN88" s="156">
        <f t="shared" si="100"/>
        <v>27.206554377949395</v>
      </c>
      <c r="AO88" s="156">
        <f t="shared" si="100"/>
        <v>28.29565776544404</v>
      </c>
      <c r="AP88" s="156">
        <f t="shared" si="100"/>
        <v>29.390121836121853</v>
      </c>
      <c r="AQ88" s="156">
        <f t="shared" si="100"/>
        <v>30.489316885993155</v>
      </c>
      <c r="AR88" s="156">
        <f t="shared" si="100"/>
        <v>31.592652567567576</v>
      </c>
      <c r="AS88" s="156">
        <f t="shared" si="100"/>
        <v>32.69957788985414</v>
      </c>
      <c r="AT88" s="156">
        <f t="shared" si="100"/>
        <v>33.80958121836122</v>
      </c>
      <c r="AU88" s="156">
        <f t="shared" si="100"/>
        <v>34.922190275096526</v>
      </c>
      <c r="AV88" s="156">
        <f t="shared" si="100"/>
        <v>36.03697213856713</v>
      </c>
      <c r="AW88" s="156">
        <f t="shared" si="100"/>
        <v>37.153533243779485</v>
      </c>
      <c r="AX88" s="156">
        <f t="shared" si="100"/>
        <v>38.27151938223936</v>
      </c>
      <c r="AY88" s="156">
        <f t="shared" si="100"/>
        <v>39.39061570195195</v>
      </c>
      <c r="AZ88" s="156">
        <f t="shared" si="100"/>
        <v>40.51054670742169</v>
      </c>
      <c r="BA88" s="156">
        <f t="shared" si="100"/>
        <v>41.63107625965248</v>
      </c>
      <c r="BB88" s="156">
        <f t="shared" si="100"/>
        <v>42.75200757614755</v>
      </c>
      <c r="BC88" s="156">
        <f t="shared" si="100"/>
        <v>43.87318323090945</v>
      </c>
      <c r="BD88" s="156">
        <f t="shared" si="100"/>
        <v>44.99448515444012</v>
      </c>
      <c r="BE88" s="156">
        <f t="shared" si="100"/>
        <v>46.115834633740846</v>
      </c>
      <c r="BF88" s="156">
        <f t="shared" si="100"/>
        <v>0</v>
      </c>
      <c r="BG88" s="156">
        <f t="shared" si="100"/>
        <v>0</v>
      </c>
      <c r="BH88" s="156">
        <f t="shared" si="100"/>
        <v>0</v>
      </c>
      <c r="BI88" s="156">
        <f t="shared" si="100"/>
        <v>0</v>
      </c>
      <c r="BJ88" s="156">
        <f t="shared" si="100"/>
        <v>0</v>
      </c>
      <c r="BK88" s="156">
        <f t="shared" si="100"/>
        <v>0</v>
      </c>
      <c r="BL88" s="156">
        <f t="shared" si="100"/>
        <v>0</v>
      </c>
      <c r="BM88" s="156">
        <f t="shared" si="100"/>
        <v>0</v>
      </c>
      <c r="BN88" s="156">
        <f t="shared" si="100"/>
        <v>0</v>
      </c>
      <c r="BO88" s="156">
        <f aca="true" t="shared" si="101" ref="BO88:CY88">BO86+BO87</f>
        <v>0</v>
      </c>
      <c r="BP88" s="156">
        <f t="shared" si="101"/>
        <v>0</v>
      </c>
      <c r="BQ88" s="156">
        <f t="shared" si="101"/>
        <v>0</v>
      </c>
      <c r="BR88" s="156">
        <f t="shared" si="101"/>
        <v>0</v>
      </c>
      <c r="BS88" s="156">
        <f t="shared" si="101"/>
        <v>0</v>
      </c>
      <c r="BT88" s="156">
        <f t="shared" si="101"/>
        <v>0</v>
      </c>
      <c r="BU88" s="156">
        <f t="shared" si="101"/>
        <v>0</v>
      </c>
      <c r="BV88" s="156">
        <f t="shared" si="101"/>
        <v>0</v>
      </c>
      <c r="BW88" s="156">
        <f t="shared" si="101"/>
        <v>0</v>
      </c>
      <c r="BX88" s="156">
        <f t="shared" si="101"/>
        <v>0</v>
      </c>
      <c r="BY88" s="156">
        <f t="shared" si="101"/>
        <v>0</v>
      </c>
      <c r="BZ88" s="156">
        <f t="shared" si="101"/>
        <v>0</v>
      </c>
      <c r="CA88" s="156">
        <f t="shared" si="101"/>
        <v>0</v>
      </c>
      <c r="CB88" s="156">
        <f t="shared" si="101"/>
        <v>0</v>
      </c>
      <c r="CC88" s="156">
        <f t="shared" si="101"/>
        <v>0</v>
      </c>
      <c r="CD88" s="156">
        <f t="shared" si="101"/>
        <v>0</v>
      </c>
      <c r="CE88" s="156">
        <f t="shared" si="101"/>
        <v>0</v>
      </c>
      <c r="CF88" s="156">
        <f t="shared" si="101"/>
        <v>0</v>
      </c>
      <c r="CG88" s="156">
        <f t="shared" si="101"/>
        <v>0</v>
      </c>
      <c r="CH88" s="156">
        <f t="shared" si="101"/>
        <v>0</v>
      </c>
      <c r="CI88" s="156">
        <f t="shared" si="101"/>
        <v>0</v>
      </c>
      <c r="CJ88" s="156">
        <f t="shared" si="101"/>
        <v>0</v>
      </c>
      <c r="CK88" s="156">
        <f t="shared" si="101"/>
        <v>0</v>
      </c>
      <c r="CL88" s="156">
        <f t="shared" si="101"/>
        <v>0</v>
      </c>
      <c r="CM88" s="156">
        <f t="shared" si="101"/>
        <v>0</v>
      </c>
      <c r="CN88" s="156">
        <f t="shared" si="101"/>
        <v>0</v>
      </c>
      <c r="CO88" s="156">
        <f t="shared" si="101"/>
        <v>0</v>
      </c>
      <c r="CP88" s="156">
        <f t="shared" si="101"/>
        <v>0</v>
      </c>
      <c r="CQ88" s="156">
        <f t="shared" si="101"/>
        <v>0</v>
      </c>
      <c r="CR88" s="156">
        <f t="shared" si="101"/>
        <v>0</v>
      </c>
      <c r="CS88" s="156">
        <f t="shared" si="101"/>
        <v>0</v>
      </c>
      <c r="CT88" s="156">
        <f t="shared" si="101"/>
        <v>0</v>
      </c>
      <c r="CU88" s="156">
        <f t="shared" si="101"/>
        <v>0</v>
      </c>
      <c r="CV88" s="156">
        <f t="shared" si="101"/>
        <v>0</v>
      </c>
      <c r="CW88" s="156">
        <f t="shared" si="101"/>
        <v>0</v>
      </c>
      <c r="CX88" s="156">
        <f t="shared" si="101"/>
        <v>0</v>
      </c>
      <c r="CY88" s="156">
        <f t="shared" si="101"/>
        <v>13.894176654332902</v>
      </c>
      <c r="DA88" s="156">
        <f>MAX(B88:CY88)</f>
        <v>46.115834633740846</v>
      </c>
      <c r="DB88" s="156">
        <f>MIN(B88:CY88)</f>
        <v>0</v>
      </c>
      <c r="DC88" s="156">
        <f>ABS(DB88)</f>
        <v>0</v>
      </c>
      <c r="DE88" s="156">
        <f>MAX(DA88,DC88)</f>
        <v>46.115834633740846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64"/>
  <sheetViews>
    <sheetView zoomScalePageLayoutView="0" workbookViewId="0" topLeftCell="A77">
      <selection activeCell="A132" sqref="A132:IV132"/>
    </sheetView>
  </sheetViews>
  <sheetFormatPr defaultColWidth="11.421875" defaultRowHeight="12.75"/>
  <sheetData>
    <row r="1" ht="13.5" thickBot="1"/>
    <row r="2" spans="1:24" ht="19.5">
      <c r="A2" s="1" t="s">
        <v>0</v>
      </c>
      <c r="B2" s="2"/>
      <c r="C2" s="3" t="s">
        <v>1</v>
      </c>
      <c r="D2" s="3"/>
      <c r="E2" s="4"/>
      <c r="F2" s="4"/>
      <c r="G2" s="5"/>
      <c r="H2" s="6" t="s">
        <v>2</v>
      </c>
      <c r="I2" s="7" t="s">
        <v>3</v>
      </c>
      <c r="J2" s="8"/>
      <c r="K2" s="7" t="s">
        <v>4</v>
      </c>
      <c r="L2" s="9"/>
      <c r="M2" s="8"/>
      <c r="N2" s="10" t="s">
        <v>5</v>
      </c>
      <c r="O2" s="11"/>
      <c r="P2" s="7" t="s">
        <v>6</v>
      </c>
      <c r="Q2" s="6" t="s">
        <v>7</v>
      </c>
      <c r="R2" s="7" t="s">
        <v>8</v>
      </c>
      <c r="S2" s="7" t="s">
        <v>33</v>
      </c>
      <c r="T2" s="6" t="s">
        <v>9</v>
      </c>
      <c r="U2" s="7" t="s">
        <v>10</v>
      </c>
      <c r="V2" s="12" t="s">
        <v>11</v>
      </c>
      <c r="W2" s="7" t="s">
        <v>12</v>
      </c>
      <c r="X2" s="13" t="s">
        <v>0</v>
      </c>
    </row>
    <row r="3" spans="1:24" ht="12.75">
      <c r="A3" s="14"/>
      <c r="B3" s="15" t="s">
        <v>13</v>
      </c>
      <c r="C3" s="16" t="s">
        <v>14</v>
      </c>
      <c r="D3" s="16" t="s">
        <v>15</v>
      </c>
      <c r="E3" s="16" t="s">
        <v>16</v>
      </c>
      <c r="F3" s="16" t="s">
        <v>17</v>
      </c>
      <c r="G3" s="16" t="s">
        <v>18</v>
      </c>
      <c r="H3" s="17" t="s">
        <v>19</v>
      </c>
      <c r="I3" s="18" t="s">
        <v>20</v>
      </c>
      <c r="J3" s="17" t="s">
        <v>21</v>
      </c>
      <c r="K3" s="19" t="s">
        <v>22</v>
      </c>
      <c r="L3" s="19" t="s">
        <v>23</v>
      </c>
      <c r="M3" s="17" t="s">
        <v>24</v>
      </c>
      <c r="N3" s="20" t="s">
        <v>25</v>
      </c>
      <c r="O3" s="20" t="s">
        <v>26</v>
      </c>
      <c r="P3" s="18" t="s">
        <v>27</v>
      </c>
      <c r="Q3" s="17" t="s">
        <v>27</v>
      </c>
      <c r="R3" s="18" t="s">
        <v>27</v>
      </c>
      <c r="S3" s="18" t="s">
        <v>27</v>
      </c>
      <c r="T3" s="17" t="s">
        <v>28</v>
      </c>
      <c r="U3" s="18" t="s">
        <v>29</v>
      </c>
      <c r="V3" s="17" t="s">
        <v>30</v>
      </c>
      <c r="W3" s="18" t="s">
        <v>31</v>
      </c>
      <c r="X3" s="21"/>
    </row>
    <row r="4" spans="1:24" ht="12.75">
      <c r="A4" s="22">
        <v>80</v>
      </c>
      <c r="B4" s="23">
        <v>80</v>
      </c>
      <c r="C4" s="23">
        <v>46</v>
      </c>
      <c r="D4" s="24">
        <v>3.8</v>
      </c>
      <c r="E4" s="25">
        <v>5.2</v>
      </c>
      <c r="F4" s="23">
        <v>5</v>
      </c>
      <c r="G4" s="25">
        <v>59</v>
      </c>
      <c r="H4" s="23">
        <v>7.64</v>
      </c>
      <c r="I4" s="25">
        <v>6</v>
      </c>
      <c r="J4" s="23">
        <v>80.1</v>
      </c>
      <c r="K4" s="25">
        <v>20</v>
      </c>
      <c r="L4" s="23">
        <v>3.24</v>
      </c>
      <c r="M4" s="26">
        <v>8.49</v>
      </c>
      <c r="N4" s="25">
        <v>3.69</v>
      </c>
      <c r="O4" s="26">
        <v>1.05</v>
      </c>
      <c r="P4" s="25">
        <v>25</v>
      </c>
      <c r="Q4" s="26">
        <v>10.5</v>
      </c>
      <c r="R4" s="25">
        <v>6.4</v>
      </c>
      <c r="S4" s="49"/>
      <c r="T4" s="26">
        <v>11.6</v>
      </c>
      <c r="U4" s="25">
        <v>6.9</v>
      </c>
      <c r="V4" s="26">
        <v>3.34</v>
      </c>
      <c r="W4" s="25">
        <v>0.328</v>
      </c>
      <c r="X4" s="27" t="s">
        <v>171</v>
      </c>
    </row>
    <row r="5" spans="1:24" ht="12.75">
      <c r="A5" s="22">
        <v>100</v>
      </c>
      <c r="B5" s="26">
        <v>100</v>
      </c>
      <c r="C5" s="26">
        <v>55</v>
      </c>
      <c r="D5" s="26">
        <v>4.1</v>
      </c>
      <c r="E5" s="25">
        <v>5.7</v>
      </c>
      <c r="F5" s="26">
        <v>7</v>
      </c>
      <c r="G5" s="25">
        <v>74</v>
      </c>
      <c r="H5" s="26">
        <v>10.3</v>
      </c>
      <c r="I5" s="25">
        <v>8.1</v>
      </c>
      <c r="J5" s="26">
        <v>171</v>
      </c>
      <c r="K5" s="25">
        <v>34.2</v>
      </c>
      <c r="L5" s="26">
        <v>4.07</v>
      </c>
      <c r="M5" s="26">
        <v>15.9</v>
      </c>
      <c r="N5" s="25">
        <v>5.79</v>
      </c>
      <c r="O5" s="26">
        <v>1.24</v>
      </c>
      <c r="P5" s="25">
        <v>30</v>
      </c>
      <c r="Q5" s="26">
        <v>12.5</v>
      </c>
      <c r="R5" s="25">
        <v>8.4</v>
      </c>
      <c r="S5" s="49"/>
      <c r="T5" s="26">
        <v>19.7</v>
      </c>
      <c r="U5" s="25">
        <v>8.68</v>
      </c>
      <c r="V5" s="26">
        <v>4.22</v>
      </c>
      <c r="W5" s="25">
        <v>0.4</v>
      </c>
      <c r="X5" s="27" t="s">
        <v>172</v>
      </c>
    </row>
    <row r="6" spans="1:24" ht="12.75">
      <c r="A6" s="22">
        <v>120</v>
      </c>
      <c r="B6" s="26">
        <v>120</v>
      </c>
      <c r="C6" s="26">
        <v>64</v>
      </c>
      <c r="D6" s="26">
        <v>4.4</v>
      </c>
      <c r="E6" s="25">
        <v>6.3</v>
      </c>
      <c r="F6" s="26">
        <v>7</v>
      </c>
      <c r="G6" s="25">
        <v>93</v>
      </c>
      <c r="H6" s="26">
        <v>13.2</v>
      </c>
      <c r="I6" s="25">
        <v>10.4</v>
      </c>
      <c r="J6" s="26">
        <v>318</v>
      </c>
      <c r="K6" s="25">
        <v>53</v>
      </c>
      <c r="L6" s="26">
        <v>4.9</v>
      </c>
      <c r="M6" s="26">
        <v>27.7</v>
      </c>
      <c r="N6" s="25">
        <v>8.65</v>
      </c>
      <c r="O6" s="26">
        <v>1.45</v>
      </c>
      <c r="P6" s="25">
        <v>35</v>
      </c>
      <c r="Q6" s="26">
        <v>14.5</v>
      </c>
      <c r="R6" s="25">
        <v>8.4</v>
      </c>
      <c r="S6" s="49"/>
      <c r="T6" s="26">
        <v>30.4</v>
      </c>
      <c r="U6" s="25">
        <v>10.5</v>
      </c>
      <c r="V6" s="26">
        <v>5.11</v>
      </c>
      <c r="W6" s="25">
        <v>0.475</v>
      </c>
      <c r="X6" s="27" t="s">
        <v>173</v>
      </c>
    </row>
    <row r="7" spans="1:24" ht="12.75">
      <c r="A7" s="22">
        <v>140</v>
      </c>
      <c r="B7" s="26">
        <v>140</v>
      </c>
      <c r="C7" s="26">
        <v>73</v>
      </c>
      <c r="D7" s="26">
        <v>4.7</v>
      </c>
      <c r="E7" s="25">
        <v>6.9</v>
      </c>
      <c r="F7" s="26">
        <v>7</v>
      </c>
      <c r="G7" s="25">
        <v>112</v>
      </c>
      <c r="H7" s="26">
        <v>16.4</v>
      </c>
      <c r="I7" s="25">
        <v>12.9</v>
      </c>
      <c r="J7" s="26">
        <v>541</v>
      </c>
      <c r="K7" s="25">
        <v>77.3</v>
      </c>
      <c r="L7" s="26">
        <v>5.74</v>
      </c>
      <c r="M7" s="26">
        <v>44.9</v>
      </c>
      <c r="N7" s="25">
        <v>12.3</v>
      </c>
      <c r="O7" s="26">
        <v>1.65</v>
      </c>
      <c r="P7" s="25">
        <v>40</v>
      </c>
      <c r="Q7" s="26">
        <v>16.5</v>
      </c>
      <c r="R7" s="25">
        <v>11</v>
      </c>
      <c r="S7" s="49"/>
      <c r="T7" s="26">
        <v>44.2</v>
      </c>
      <c r="U7" s="25">
        <v>12.3</v>
      </c>
      <c r="V7" s="26">
        <v>6</v>
      </c>
      <c r="W7" s="25">
        <v>0.551</v>
      </c>
      <c r="X7" s="27" t="s">
        <v>174</v>
      </c>
    </row>
    <row r="8" spans="1:24" ht="12.75">
      <c r="A8" s="22">
        <v>160</v>
      </c>
      <c r="B8" s="26">
        <v>160</v>
      </c>
      <c r="C8" s="26">
        <v>82</v>
      </c>
      <c r="D8" s="26">
        <v>5</v>
      </c>
      <c r="E8" s="25">
        <v>7.4</v>
      </c>
      <c r="F8" s="26">
        <v>9</v>
      </c>
      <c r="G8" s="25">
        <v>127</v>
      </c>
      <c r="H8" s="26">
        <v>20.1</v>
      </c>
      <c r="I8" s="25">
        <v>15.8</v>
      </c>
      <c r="J8" s="26">
        <v>869</v>
      </c>
      <c r="K8" s="25">
        <v>109</v>
      </c>
      <c r="L8" s="26">
        <v>6.58</v>
      </c>
      <c r="M8" s="26">
        <v>68.3</v>
      </c>
      <c r="N8" s="25">
        <v>16.7</v>
      </c>
      <c r="O8" s="26">
        <v>1.84</v>
      </c>
      <c r="P8" s="25">
        <v>44</v>
      </c>
      <c r="Q8" s="26">
        <v>19</v>
      </c>
      <c r="R8" s="25">
        <v>13</v>
      </c>
      <c r="S8" s="49"/>
      <c r="T8" s="26">
        <v>61.9</v>
      </c>
      <c r="U8" s="25">
        <v>14</v>
      </c>
      <c r="V8" s="26">
        <v>6.89</v>
      </c>
      <c r="W8" s="25">
        <v>0.623</v>
      </c>
      <c r="X8" s="27" t="s">
        <v>175</v>
      </c>
    </row>
    <row r="9" spans="1:24" ht="12.75">
      <c r="A9" s="22">
        <v>180</v>
      </c>
      <c r="B9" s="26">
        <v>180</v>
      </c>
      <c r="C9" s="26">
        <v>91</v>
      </c>
      <c r="D9" s="26">
        <v>5.3</v>
      </c>
      <c r="E9" s="25">
        <v>8</v>
      </c>
      <c r="F9" s="26">
        <v>9</v>
      </c>
      <c r="G9" s="25">
        <v>146</v>
      </c>
      <c r="H9" s="26">
        <v>23.9</v>
      </c>
      <c r="I9" s="25">
        <v>18.8</v>
      </c>
      <c r="J9" s="26">
        <v>1320</v>
      </c>
      <c r="K9" s="25">
        <v>146</v>
      </c>
      <c r="L9" s="26">
        <v>7.42</v>
      </c>
      <c r="M9" s="26">
        <v>101</v>
      </c>
      <c r="N9" s="25">
        <v>22.2</v>
      </c>
      <c r="O9" s="26">
        <v>2.05</v>
      </c>
      <c r="P9" s="25">
        <v>48</v>
      </c>
      <c r="Q9" s="26">
        <v>21.5</v>
      </c>
      <c r="R9" s="25">
        <v>13</v>
      </c>
      <c r="S9" s="49"/>
      <c r="T9" s="26">
        <v>83.2</v>
      </c>
      <c r="U9" s="25">
        <v>15.8</v>
      </c>
      <c r="V9" s="26">
        <v>7.78</v>
      </c>
      <c r="W9" s="25">
        <v>0.698</v>
      </c>
      <c r="X9" s="27" t="s">
        <v>176</v>
      </c>
    </row>
    <row r="10" spans="1:24" ht="12.75">
      <c r="A10" s="22">
        <v>200</v>
      </c>
      <c r="B10" s="26">
        <v>200</v>
      </c>
      <c r="C10" s="26">
        <v>100</v>
      </c>
      <c r="D10" s="26">
        <v>5.6</v>
      </c>
      <c r="E10" s="25">
        <v>8.5</v>
      </c>
      <c r="F10" s="26">
        <v>12</v>
      </c>
      <c r="G10" s="25">
        <v>159</v>
      </c>
      <c r="H10" s="26">
        <v>28.5</v>
      </c>
      <c r="I10" s="25">
        <v>22.4</v>
      </c>
      <c r="J10" s="26">
        <v>1940</v>
      </c>
      <c r="K10" s="25">
        <v>194</v>
      </c>
      <c r="L10" s="26">
        <v>8.26</v>
      </c>
      <c r="M10" s="26">
        <v>142</v>
      </c>
      <c r="N10" s="25">
        <v>28.5</v>
      </c>
      <c r="O10" s="26">
        <v>2.24</v>
      </c>
      <c r="P10" s="25">
        <v>52</v>
      </c>
      <c r="Q10" s="26">
        <v>24</v>
      </c>
      <c r="R10" s="25">
        <v>13</v>
      </c>
      <c r="S10" s="49"/>
      <c r="T10" s="26">
        <v>110</v>
      </c>
      <c r="U10" s="25">
        <v>17.6</v>
      </c>
      <c r="V10" s="26">
        <v>8.69</v>
      </c>
      <c r="W10" s="25">
        <v>0.768</v>
      </c>
      <c r="X10" s="27" t="s">
        <v>177</v>
      </c>
    </row>
    <row r="11" spans="1:24" ht="12.75">
      <c r="A11" s="22">
        <v>220</v>
      </c>
      <c r="B11" s="26">
        <v>220</v>
      </c>
      <c r="C11" s="26">
        <v>110</v>
      </c>
      <c r="D11" s="26">
        <v>5.9</v>
      </c>
      <c r="E11" s="25">
        <v>9.2</v>
      </c>
      <c r="F11" s="26">
        <v>12</v>
      </c>
      <c r="G11" s="25">
        <v>177</v>
      </c>
      <c r="H11" s="26">
        <v>33.4</v>
      </c>
      <c r="I11" s="25">
        <v>26.2</v>
      </c>
      <c r="J11" s="26">
        <v>2770</v>
      </c>
      <c r="K11" s="25">
        <v>252</v>
      </c>
      <c r="L11" s="26">
        <v>9.11</v>
      </c>
      <c r="M11" s="26">
        <v>205</v>
      </c>
      <c r="N11" s="25">
        <v>37.3</v>
      </c>
      <c r="O11" s="26">
        <v>2.48</v>
      </c>
      <c r="P11" s="25">
        <v>58</v>
      </c>
      <c r="Q11" s="26">
        <v>26</v>
      </c>
      <c r="R11" s="25">
        <v>17</v>
      </c>
      <c r="S11" s="49"/>
      <c r="T11" s="26">
        <v>143</v>
      </c>
      <c r="U11" s="25">
        <v>19.4</v>
      </c>
      <c r="V11" s="26">
        <v>9.62</v>
      </c>
      <c r="W11" s="25">
        <v>0.848</v>
      </c>
      <c r="X11" s="27" t="s">
        <v>178</v>
      </c>
    </row>
    <row r="12" spans="1:24" ht="12.75">
      <c r="A12" s="22">
        <v>240</v>
      </c>
      <c r="B12" s="26">
        <v>240</v>
      </c>
      <c r="C12" s="26">
        <v>120</v>
      </c>
      <c r="D12" s="26">
        <v>6.2</v>
      </c>
      <c r="E12" s="25">
        <v>9.8</v>
      </c>
      <c r="F12" s="26">
        <v>15</v>
      </c>
      <c r="G12" s="25">
        <v>190</v>
      </c>
      <c r="H12" s="26">
        <v>39.1</v>
      </c>
      <c r="I12" s="25">
        <v>30.7</v>
      </c>
      <c r="J12" s="26">
        <v>3890</v>
      </c>
      <c r="K12" s="25">
        <v>324</v>
      </c>
      <c r="L12" s="26">
        <v>9.97</v>
      </c>
      <c r="M12" s="26">
        <v>284</v>
      </c>
      <c r="N12" s="25">
        <v>47.3</v>
      </c>
      <c r="O12" s="26">
        <v>2.69</v>
      </c>
      <c r="P12" s="25">
        <v>65</v>
      </c>
      <c r="Q12" s="26">
        <v>27.5</v>
      </c>
      <c r="R12" s="25">
        <v>17</v>
      </c>
      <c r="S12" s="49"/>
      <c r="T12" s="26">
        <v>183</v>
      </c>
      <c r="U12" s="25">
        <v>21.2</v>
      </c>
      <c r="V12" s="26">
        <v>10.6</v>
      </c>
      <c r="W12" s="25">
        <v>0.922</v>
      </c>
      <c r="X12" s="27" t="s">
        <v>179</v>
      </c>
    </row>
    <row r="13" spans="1:24" ht="12.75">
      <c r="A13" s="22">
        <v>270</v>
      </c>
      <c r="B13" s="26">
        <v>270</v>
      </c>
      <c r="C13" s="26">
        <v>135</v>
      </c>
      <c r="D13" s="26">
        <v>6.6</v>
      </c>
      <c r="E13" s="25">
        <v>10.2</v>
      </c>
      <c r="F13" s="26">
        <v>15</v>
      </c>
      <c r="G13" s="25">
        <v>219</v>
      </c>
      <c r="H13" s="26">
        <v>45.9</v>
      </c>
      <c r="I13" s="25">
        <v>36.1</v>
      </c>
      <c r="J13" s="26">
        <v>5790</v>
      </c>
      <c r="K13" s="25">
        <v>429</v>
      </c>
      <c r="L13" s="26">
        <v>11.2</v>
      </c>
      <c r="M13" s="26">
        <v>420</v>
      </c>
      <c r="N13" s="25">
        <v>62.2</v>
      </c>
      <c r="O13" s="26">
        <v>3.02</v>
      </c>
      <c r="P13" s="25">
        <v>72</v>
      </c>
      <c r="Q13" s="26">
        <v>31.5</v>
      </c>
      <c r="R13" s="25">
        <v>21</v>
      </c>
      <c r="S13" s="49"/>
      <c r="T13" s="26">
        <v>242</v>
      </c>
      <c r="U13" s="25">
        <v>23.9</v>
      </c>
      <c r="V13" s="26">
        <v>11.9</v>
      </c>
      <c r="W13" s="25">
        <v>1.041</v>
      </c>
      <c r="X13" s="27" t="s">
        <v>180</v>
      </c>
    </row>
    <row r="14" spans="1:24" ht="12.75">
      <c r="A14" s="22">
        <v>300</v>
      </c>
      <c r="B14" s="26">
        <v>300</v>
      </c>
      <c r="C14" s="26">
        <v>150</v>
      </c>
      <c r="D14" s="26">
        <v>7.1</v>
      </c>
      <c r="E14" s="25">
        <v>10.7</v>
      </c>
      <c r="F14" s="26">
        <v>15</v>
      </c>
      <c r="G14" s="25">
        <v>248</v>
      </c>
      <c r="H14" s="26">
        <v>53.8</v>
      </c>
      <c r="I14" s="25">
        <v>42.2</v>
      </c>
      <c r="J14" s="26">
        <v>8360</v>
      </c>
      <c r="K14" s="25">
        <v>557</v>
      </c>
      <c r="L14" s="26">
        <v>12.5</v>
      </c>
      <c r="M14" s="26">
        <v>604</v>
      </c>
      <c r="N14" s="25">
        <v>80.5</v>
      </c>
      <c r="O14" s="26">
        <v>3.35</v>
      </c>
      <c r="P14" s="25">
        <v>80</v>
      </c>
      <c r="Q14" s="26">
        <v>35</v>
      </c>
      <c r="R14" s="25">
        <v>23</v>
      </c>
      <c r="S14" s="49"/>
      <c r="T14" s="26">
        <v>314</v>
      </c>
      <c r="U14" s="25">
        <v>26.6</v>
      </c>
      <c r="V14" s="26">
        <v>13.2</v>
      </c>
      <c r="W14" s="25">
        <v>1.159</v>
      </c>
      <c r="X14" s="27" t="s">
        <v>181</v>
      </c>
    </row>
    <row r="15" spans="1:24" ht="12.75">
      <c r="A15" s="22">
        <v>330</v>
      </c>
      <c r="B15" s="26">
        <v>330</v>
      </c>
      <c r="C15" s="26">
        <v>160</v>
      </c>
      <c r="D15" s="26">
        <v>7.5</v>
      </c>
      <c r="E15" s="25">
        <v>11.5</v>
      </c>
      <c r="F15" s="26">
        <v>18</v>
      </c>
      <c r="G15" s="25">
        <v>271</v>
      </c>
      <c r="H15" s="26">
        <v>62.6</v>
      </c>
      <c r="I15" s="25">
        <v>49.1</v>
      </c>
      <c r="J15" s="26">
        <v>11770</v>
      </c>
      <c r="K15" s="25">
        <v>713</v>
      </c>
      <c r="L15" s="26">
        <v>13.7</v>
      </c>
      <c r="M15" s="26">
        <v>788</v>
      </c>
      <c r="N15" s="25">
        <v>98.5</v>
      </c>
      <c r="O15" s="26">
        <v>3.55</v>
      </c>
      <c r="P15" s="25">
        <v>85</v>
      </c>
      <c r="Q15" s="26">
        <v>37.5</v>
      </c>
      <c r="R15" s="25">
        <v>25</v>
      </c>
      <c r="S15" s="49"/>
      <c r="T15" s="26">
        <v>402</v>
      </c>
      <c r="U15" s="25">
        <v>29.3</v>
      </c>
      <c r="V15" s="26">
        <v>14.5</v>
      </c>
      <c r="W15" s="25">
        <v>1.254</v>
      </c>
      <c r="X15" s="27" t="s">
        <v>182</v>
      </c>
    </row>
    <row r="16" spans="1:24" ht="12.75">
      <c r="A16" s="22">
        <v>360</v>
      </c>
      <c r="B16" s="26">
        <v>360</v>
      </c>
      <c r="C16" s="26">
        <v>170</v>
      </c>
      <c r="D16" s="26">
        <v>8</v>
      </c>
      <c r="E16" s="25">
        <v>12.7</v>
      </c>
      <c r="F16" s="26">
        <v>18</v>
      </c>
      <c r="G16" s="25">
        <v>298</v>
      </c>
      <c r="H16" s="26">
        <v>72.7</v>
      </c>
      <c r="I16" s="25">
        <v>57.1</v>
      </c>
      <c r="J16" s="26">
        <v>16270</v>
      </c>
      <c r="K16" s="25">
        <v>904</v>
      </c>
      <c r="L16" s="26">
        <v>15</v>
      </c>
      <c r="M16" s="26">
        <v>1040</v>
      </c>
      <c r="N16" s="25">
        <v>123</v>
      </c>
      <c r="O16" s="26">
        <v>3.79</v>
      </c>
      <c r="P16" s="25">
        <v>90</v>
      </c>
      <c r="Q16" s="26">
        <v>40</v>
      </c>
      <c r="R16" s="25">
        <v>25</v>
      </c>
      <c r="S16" s="49"/>
      <c r="T16" s="26">
        <v>510</v>
      </c>
      <c r="U16" s="25">
        <v>31.9</v>
      </c>
      <c r="V16" s="26">
        <v>15.8</v>
      </c>
      <c r="W16" s="25">
        <v>1.353</v>
      </c>
      <c r="X16" s="27" t="s">
        <v>183</v>
      </c>
    </row>
    <row r="17" spans="1:24" ht="12.75">
      <c r="A17" s="22">
        <v>400</v>
      </c>
      <c r="B17" s="26">
        <v>400</v>
      </c>
      <c r="C17" s="26">
        <v>180</v>
      </c>
      <c r="D17" s="26">
        <v>8.6</v>
      </c>
      <c r="E17" s="25">
        <v>13.5</v>
      </c>
      <c r="F17" s="26">
        <v>21</v>
      </c>
      <c r="G17" s="25">
        <v>331</v>
      </c>
      <c r="H17" s="26">
        <v>84.5</v>
      </c>
      <c r="I17" s="25">
        <v>66.3</v>
      </c>
      <c r="J17" s="26">
        <v>23130</v>
      </c>
      <c r="K17" s="25">
        <v>1160</v>
      </c>
      <c r="L17" s="26">
        <v>16.5</v>
      </c>
      <c r="M17" s="26">
        <v>1320</v>
      </c>
      <c r="N17" s="25">
        <v>146</v>
      </c>
      <c r="O17" s="26">
        <v>3.95</v>
      </c>
      <c r="P17" s="25">
        <v>95</v>
      </c>
      <c r="Q17" s="26">
        <v>42.5</v>
      </c>
      <c r="R17" s="25">
        <v>28</v>
      </c>
      <c r="S17" s="49"/>
      <c r="T17" s="26">
        <v>654</v>
      </c>
      <c r="U17" s="25">
        <v>35.4</v>
      </c>
      <c r="V17" s="26">
        <v>17.4</v>
      </c>
      <c r="W17" s="25">
        <v>1.467</v>
      </c>
      <c r="X17" s="27" t="s">
        <v>184</v>
      </c>
    </row>
    <row r="18" spans="1:24" ht="12.75">
      <c r="A18" s="22">
        <v>450</v>
      </c>
      <c r="B18" s="26">
        <v>450</v>
      </c>
      <c r="C18" s="26">
        <v>190</v>
      </c>
      <c r="D18" s="26">
        <v>9.4</v>
      </c>
      <c r="E18" s="25">
        <v>14.6</v>
      </c>
      <c r="F18" s="26">
        <v>21</v>
      </c>
      <c r="G18" s="25">
        <v>378</v>
      </c>
      <c r="H18" s="26">
        <v>98.8</v>
      </c>
      <c r="I18" s="25">
        <v>77.6</v>
      </c>
      <c r="J18" s="26">
        <v>33740</v>
      </c>
      <c r="K18" s="25">
        <v>1500</v>
      </c>
      <c r="L18" s="26">
        <v>18.5</v>
      </c>
      <c r="M18" s="26">
        <v>1680</v>
      </c>
      <c r="N18" s="25">
        <v>176</v>
      </c>
      <c r="O18" s="26">
        <v>4.12</v>
      </c>
      <c r="P18" s="25">
        <v>100</v>
      </c>
      <c r="Q18" s="26">
        <v>45</v>
      </c>
      <c r="R18" s="25">
        <v>28</v>
      </c>
      <c r="S18" s="49"/>
      <c r="T18" s="26">
        <v>851</v>
      </c>
      <c r="U18" s="25">
        <v>39.7</v>
      </c>
      <c r="V18" s="26">
        <v>19.3</v>
      </c>
      <c r="W18" s="25">
        <v>1.605</v>
      </c>
      <c r="X18" s="27" t="s">
        <v>185</v>
      </c>
    </row>
    <row r="19" spans="1:24" ht="12.75">
      <c r="A19" s="22">
        <v>500</v>
      </c>
      <c r="B19" s="26">
        <v>500</v>
      </c>
      <c r="C19" s="26">
        <v>200</v>
      </c>
      <c r="D19" s="26">
        <v>10.2</v>
      </c>
      <c r="E19" s="25">
        <v>16</v>
      </c>
      <c r="F19" s="26">
        <v>21</v>
      </c>
      <c r="G19" s="25">
        <v>426</v>
      </c>
      <c r="H19" s="26">
        <v>116</v>
      </c>
      <c r="I19" s="25">
        <v>90.7</v>
      </c>
      <c r="J19" s="26">
        <v>48200</v>
      </c>
      <c r="K19" s="25">
        <v>1930</v>
      </c>
      <c r="L19" s="26">
        <v>20.4</v>
      </c>
      <c r="M19" s="26">
        <v>2140</v>
      </c>
      <c r="N19" s="25">
        <v>214</v>
      </c>
      <c r="O19" s="26">
        <v>4.31</v>
      </c>
      <c r="P19" s="25">
        <v>110</v>
      </c>
      <c r="Q19" s="26">
        <v>45</v>
      </c>
      <c r="R19" s="25">
        <v>28</v>
      </c>
      <c r="S19" s="49"/>
      <c r="T19" s="26">
        <v>1100</v>
      </c>
      <c r="U19" s="25">
        <v>43.9</v>
      </c>
      <c r="V19" s="26">
        <v>21.3</v>
      </c>
      <c r="W19" s="25">
        <v>1.744</v>
      </c>
      <c r="X19" s="27" t="s">
        <v>186</v>
      </c>
    </row>
    <row r="20" spans="1:24" ht="12.75">
      <c r="A20" s="22">
        <v>550</v>
      </c>
      <c r="B20" s="26">
        <v>550</v>
      </c>
      <c r="C20" s="26">
        <v>210</v>
      </c>
      <c r="D20" s="26">
        <v>11.1</v>
      </c>
      <c r="E20" s="25">
        <v>17.2</v>
      </c>
      <c r="F20" s="26">
        <v>24</v>
      </c>
      <c r="G20" s="25">
        <v>467</v>
      </c>
      <c r="H20" s="26">
        <v>134</v>
      </c>
      <c r="I20" s="25">
        <v>106</v>
      </c>
      <c r="J20" s="26">
        <v>67120</v>
      </c>
      <c r="K20" s="25">
        <v>2440</v>
      </c>
      <c r="L20" s="26">
        <v>22.3</v>
      </c>
      <c r="M20" s="26">
        <v>2670</v>
      </c>
      <c r="N20" s="25">
        <v>254</v>
      </c>
      <c r="O20" s="26">
        <v>4.45</v>
      </c>
      <c r="P20" s="25">
        <v>115</v>
      </c>
      <c r="Q20" s="26">
        <v>47.5</v>
      </c>
      <c r="R20" s="25">
        <v>28</v>
      </c>
      <c r="S20" s="49"/>
      <c r="T20" s="26">
        <v>1390</v>
      </c>
      <c r="U20" s="25">
        <v>48.2</v>
      </c>
      <c r="V20" s="26">
        <v>23.1</v>
      </c>
      <c r="W20" s="25">
        <v>1.877</v>
      </c>
      <c r="X20" s="27" t="s">
        <v>187</v>
      </c>
    </row>
    <row r="21" spans="1:24" ht="12.75">
      <c r="A21" s="22">
        <v>600</v>
      </c>
      <c r="B21" s="26">
        <v>600</v>
      </c>
      <c r="C21" s="26">
        <v>220</v>
      </c>
      <c r="D21" s="26">
        <v>12</v>
      </c>
      <c r="E21" s="25">
        <v>19</v>
      </c>
      <c r="F21" s="26">
        <v>24</v>
      </c>
      <c r="G21" s="25">
        <v>514</v>
      </c>
      <c r="H21" s="26">
        <v>156</v>
      </c>
      <c r="I21" s="25">
        <v>122</v>
      </c>
      <c r="J21" s="26">
        <v>92080</v>
      </c>
      <c r="K21" s="25">
        <v>3070</v>
      </c>
      <c r="L21" s="26">
        <v>24.3</v>
      </c>
      <c r="M21" s="26">
        <v>3390</v>
      </c>
      <c r="N21" s="25">
        <v>308</v>
      </c>
      <c r="O21" s="26">
        <v>4.66</v>
      </c>
      <c r="P21" s="25">
        <v>120</v>
      </c>
      <c r="Q21" s="26">
        <v>50</v>
      </c>
      <c r="R21" s="25">
        <v>28</v>
      </c>
      <c r="S21" s="49"/>
      <c r="T21" s="26">
        <v>1760</v>
      </c>
      <c r="U21" s="25">
        <v>52.4</v>
      </c>
      <c r="V21" s="26">
        <v>25.1</v>
      </c>
      <c r="W21" s="25">
        <v>2.015</v>
      </c>
      <c r="X21" s="27" t="s">
        <v>188</v>
      </c>
    </row>
    <row r="22" spans="1:24" ht="12.75">
      <c r="A22" s="28">
        <v>650</v>
      </c>
      <c r="B22" s="23">
        <v>650</v>
      </c>
      <c r="C22" s="23">
        <v>225</v>
      </c>
      <c r="D22" s="23">
        <v>12</v>
      </c>
      <c r="E22" s="29">
        <v>20</v>
      </c>
      <c r="F22" s="23"/>
      <c r="G22" s="29"/>
      <c r="H22" s="23">
        <v>163</v>
      </c>
      <c r="I22" s="29">
        <v>128</v>
      </c>
      <c r="J22" s="23">
        <v>112000</v>
      </c>
      <c r="K22" s="29">
        <v>3446</v>
      </c>
      <c r="L22" s="23">
        <v>26.2</v>
      </c>
      <c r="M22" s="23">
        <v>3795</v>
      </c>
      <c r="N22" s="29">
        <v>337</v>
      </c>
      <c r="O22" s="23">
        <v>4.8</v>
      </c>
      <c r="P22" s="29"/>
      <c r="Q22" s="23"/>
      <c r="R22" s="29"/>
      <c r="S22" s="49"/>
      <c r="T22" s="23"/>
      <c r="U22" s="29"/>
      <c r="V22" s="23"/>
      <c r="W22" s="29">
        <v>2.18</v>
      </c>
      <c r="X22" s="30" t="s">
        <v>189</v>
      </c>
    </row>
    <row r="23" spans="1:24" ht="12.75">
      <c r="A23" s="22">
        <v>700</v>
      </c>
      <c r="B23" s="26">
        <v>700</v>
      </c>
      <c r="C23" s="26">
        <v>230</v>
      </c>
      <c r="D23" s="26">
        <v>12</v>
      </c>
      <c r="E23" s="25">
        <v>20</v>
      </c>
      <c r="F23" s="26"/>
      <c r="G23" s="25"/>
      <c r="H23" s="26">
        <v>171</v>
      </c>
      <c r="I23" s="25">
        <v>134</v>
      </c>
      <c r="J23" s="26">
        <v>135101</v>
      </c>
      <c r="K23" s="25">
        <v>3860</v>
      </c>
      <c r="L23" s="26">
        <v>28.1</v>
      </c>
      <c r="M23" s="26">
        <v>4055</v>
      </c>
      <c r="N23" s="25">
        <v>352</v>
      </c>
      <c r="O23" s="26">
        <v>4.9</v>
      </c>
      <c r="P23" s="25"/>
      <c r="Q23" s="26"/>
      <c r="R23" s="25"/>
      <c r="S23" s="49"/>
      <c r="T23" s="26"/>
      <c r="U23" s="25"/>
      <c r="V23" s="26"/>
      <c r="W23" s="25">
        <v>2.3</v>
      </c>
      <c r="X23" s="27" t="s">
        <v>190</v>
      </c>
    </row>
    <row r="24" spans="1:24" ht="12.75">
      <c r="A24" s="22">
        <v>750</v>
      </c>
      <c r="B24" s="26">
        <v>750</v>
      </c>
      <c r="C24" s="26">
        <v>235</v>
      </c>
      <c r="D24" s="26">
        <v>15</v>
      </c>
      <c r="E24" s="25">
        <v>25</v>
      </c>
      <c r="F24" s="26"/>
      <c r="G24" s="25"/>
      <c r="H24" s="26">
        <v>222</v>
      </c>
      <c r="I24" s="25">
        <v>174</v>
      </c>
      <c r="J24" s="26">
        <v>197277</v>
      </c>
      <c r="K24" s="25">
        <v>5260</v>
      </c>
      <c r="L24" s="26">
        <v>29.8</v>
      </c>
      <c r="M24" s="26">
        <v>5407</v>
      </c>
      <c r="N24" s="25">
        <v>460</v>
      </c>
      <c r="O24" s="26">
        <v>4.9</v>
      </c>
      <c r="P24" s="25"/>
      <c r="Q24" s="26"/>
      <c r="R24" s="25"/>
      <c r="S24" s="49"/>
      <c r="T24" s="26"/>
      <c r="U24" s="25"/>
      <c r="V24" s="26"/>
      <c r="W24" s="25">
        <v>2.41</v>
      </c>
      <c r="X24" s="27" t="s">
        <v>191</v>
      </c>
    </row>
    <row r="25" spans="1:24" ht="12.75">
      <c r="A25" s="22">
        <v>800</v>
      </c>
      <c r="B25" s="26">
        <v>800</v>
      </c>
      <c r="C25" s="26">
        <v>240</v>
      </c>
      <c r="D25" s="26">
        <v>15</v>
      </c>
      <c r="E25" s="25">
        <v>25</v>
      </c>
      <c r="F25" s="26"/>
      <c r="G25" s="25"/>
      <c r="H25" s="26">
        <v>232</v>
      </c>
      <c r="I25" s="25">
        <v>182</v>
      </c>
      <c r="J25" s="26">
        <v>232921</v>
      </c>
      <c r="K25" s="25">
        <v>5823</v>
      </c>
      <c r="L25" s="26">
        <v>31.7</v>
      </c>
      <c r="M25" s="26">
        <v>5760</v>
      </c>
      <c r="N25" s="25">
        <v>480</v>
      </c>
      <c r="O25" s="26">
        <v>5</v>
      </c>
      <c r="P25" s="25"/>
      <c r="Q25" s="26"/>
      <c r="R25" s="25"/>
      <c r="S25" s="49"/>
      <c r="T25" s="26"/>
      <c r="U25" s="25"/>
      <c r="V25" s="26"/>
      <c r="W25" s="25">
        <v>2.53</v>
      </c>
      <c r="X25" s="27" t="s">
        <v>192</v>
      </c>
    </row>
    <row r="26" spans="1:24" ht="12.75">
      <c r="A26" s="22">
        <v>850</v>
      </c>
      <c r="B26" s="26">
        <v>850</v>
      </c>
      <c r="C26" s="26">
        <v>245</v>
      </c>
      <c r="D26" s="26">
        <v>15</v>
      </c>
      <c r="E26" s="25">
        <v>25</v>
      </c>
      <c r="F26" s="26"/>
      <c r="G26" s="25"/>
      <c r="H26" s="26">
        <v>242</v>
      </c>
      <c r="I26" s="25">
        <v>190</v>
      </c>
      <c r="J26" s="26">
        <v>272441</v>
      </c>
      <c r="K26" s="25">
        <v>6410</v>
      </c>
      <c r="L26" s="26">
        <v>33.5</v>
      </c>
      <c r="M26" s="26">
        <v>6127</v>
      </c>
      <c r="N26" s="25">
        <v>500</v>
      </c>
      <c r="O26" s="26">
        <v>5</v>
      </c>
      <c r="P26" s="25"/>
      <c r="Q26" s="26"/>
      <c r="R26" s="25"/>
      <c r="S26" s="49"/>
      <c r="T26" s="26"/>
      <c r="U26" s="25"/>
      <c r="V26" s="26"/>
      <c r="W26" s="25">
        <v>2.65</v>
      </c>
      <c r="X26" s="27" t="s">
        <v>193</v>
      </c>
    </row>
    <row r="27" spans="1:24" ht="12.75">
      <c r="A27" s="22">
        <v>900</v>
      </c>
      <c r="B27" s="26">
        <v>900</v>
      </c>
      <c r="C27" s="26">
        <v>250</v>
      </c>
      <c r="D27" s="26">
        <v>15</v>
      </c>
      <c r="E27" s="25">
        <v>30</v>
      </c>
      <c r="F27" s="26"/>
      <c r="G27" s="25"/>
      <c r="H27" s="26">
        <v>275</v>
      </c>
      <c r="I27" s="25">
        <v>216</v>
      </c>
      <c r="J27" s="26">
        <v>357925</v>
      </c>
      <c r="K27" s="25">
        <v>7953</v>
      </c>
      <c r="L27" s="26">
        <v>36</v>
      </c>
      <c r="M27" s="26">
        <v>7812</v>
      </c>
      <c r="N27" s="25">
        <v>624</v>
      </c>
      <c r="O27" s="26">
        <v>5.3</v>
      </c>
      <c r="P27" s="25"/>
      <c r="Q27" s="26"/>
      <c r="R27" s="25"/>
      <c r="S27" s="49"/>
      <c r="T27" s="26"/>
      <c r="U27" s="25"/>
      <c r="V27" s="26"/>
      <c r="W27" s="25">
        <v>2.77</v>
      </c>
      <c r="X27" s="27" t="s">
        <v>194</v>
      </c>
    </row>
    <row r="28" spans="1:24" ht="12.75">
      <c r="A28" s="22">
        <v>950</v>
      </c>
      <c r="B28" s="26">
        <v>950</v>
      </c>
      <c r="C28" s="26">
        <v>255</v>
      </c>
      <c r="D28" s="26">
        <v>15</v>
      </c>
      <c r="E28" s="25">
        <v>30</v>
      </c>
      <c r="F28" s="26"/>
      <c r="G28" s="25"/>
      <c r="H28" s="26">
        <v>286</v>
      </c>
      <c r="I28" s="25">
        <v>224</v>
      </c>
      <c r="J28" s="26">
        <v>411868</v>
      </c>
      <c r="K28" s="25">
        <v>8670</v>
      </c>
      <c r="L28" s="26">
        <v>37.9</v>
      </c>
      <c r="M28" s="26">
        <v>8290</v>
      </c>
      <c r="N28" s="25">
        <v>650</v>
      </c>
      <c r="O28" s="26">
        <v>5.4</v>
      </c>
      <c r="P28" s="25"/>
      <c r="Q28" s="26"/>
      <c r="R28" s="25"/>
      <c r="S28" s="49"/>
      <c r="T28" s="26"/>
      <c r="U28" s="25"/>
      <c r="V28" s="26"/>
      <c r="W28" s="25">
        <v>2.89</v>
      </c>
      <c r="X28" s="27" t="s">
        <v>195</v>
      </c>
    </row>
    <row r="29" spans="1:24" ht="13.5" thickBot="1">
      <c r="A29" s="31">
        <v>1000</v>
      </c>
      <c r="B29" s="32">
        <v>1000</v>
      </c>
      <c r="C29" s="32">
        <v>260</v>
      </c>
      <c r="D29" s="32">
        <v>15</v>
      </c>
      <c r="E29" s="33">
        <v>30</v>
      </c>
      <c r="F29" s="32"/>
      <c r="G29" s="33"/>
      <c r="H29" s="32">
        <v>296</v>
      </c>
      <c r="I29" s="33">
        <v>233</v>
      </c>
      <c r="J29" s="32">
        <v>470773</v>
      </c>
      <c r="K29" s="33">
        <v>9415</v>
      </c>
      <c r="L29" s="32">
        <v>39.8</v>
      </c>
      <c r="M29" s="32">
        <v>8787</v>
      </c>
      <c r="N29" s="33">
        <v>675</v>
      </c>
      <c r="O29" s="32">
        <v>5.4</v>
      </c>
      <c r="P29" s="33"/>
      <c r="Q29" s="32"/>
      <c r="R29" s="33"/>
      <c r="S29" s="52"/>
      <c r="T29" s="32"/>
      <c r="U29" s="33"/>
      <c r="V29" s="32"/>
      <c r="W29" s="33">
        <v>3.01</v>
      </c>
      <c r="X29" s="34" t="s">
        <v>196</v>
      </c>
    </row>
    <row r="32" ht="13.5" thickBot="1"/>
    <row r="33" spans="1:24" ht="19.5">
      <c r="A33" s="1" t="s">
        <v>32</v>
      </c>
      <c r="B33" s="2"/>
      <c r="C33" s="3" t="s">
        <v>1</v>
      </c>
      <c r="D33" s="3"/>
      <c r="E33" s="4"/>
      <c r="F33" s="4"/>
      <c r="G33" s="5"/>
      <c r="H33" s="6" t="s">
        <v>2</v>
      </c>
      <c r="I33" s="7" t="s">
        <v>3</v>
      </c>
      <c r="J33" s="8"/>
      <c r="K33" s="7" t="s">
        <v>4</v>
      </c>
      <c r="L33" s="9"/>
      <c r="M33" s="8"/>
      <c r="N33" s="10" t="s">
        <v>5</v>
      </c>
      <c r="O33" s="11"/>
      <c r="P33" s="7" t="s">
        <v>6</v>
      </c>
      <c r="Q33" s="6" t="s">
        <v>7</v>
      </c>
      <c r="R33" s="9" t="s">
        <v>8</v>
      </c>
      <c r="S33" s="7" t="s">
        <v>33</v>
      </c>
      <c r="T33" s="6" t="s">
        <v>9</v>
      </c>
      <c r="U33" s="7" t="s">
        <v>10</v>
      </c>
      <c r="V33" s="12" t="s">
        <v>11</v>
      </c>
      <c r="W33" s="7" t="s">
        <v>12</v>
      </c>
      <c r="X33" s="13" t="s">
        <v>32</v>
      </c>
    </row>
    <row r="34" spans="1:24" ht="12.75">
      <c r="A34" s="14"/>
      <c r="B34" s="15" t="s">
        <v>13</v>
      </c>
      <c r="C34" s="16" t="s">
        <v>14</v>
      </c>
      <c r="D34" s="16" t="s">
        <v>34</v>
      </c>
      <c r="E34" s="16" t="s">
        <v>16</v>
      </c>
      <c r="F34" s="16" t="s">
        <v>35</v>
      </c>
      <c r="G34" s="16" t="s">
        <v>18</v>
      </c>
      <c r="H34" s="17" t="s">
        <v>19</v>
      </c>
      <c r="I34" s="18" t="s">
        <v>20</v>
      </c>
      <c r="J34" s="17" t="s">
        <v>21</v>
      </c>
      <c r="K34" s="19" t="s">
        <v>22</v>
      </c>
      <c r="L34" s="19" t="s">
        <v>23</v>
      </c>
      <c r="M34" s="17" t="s">
        <v>24</v>
      </c>
      <c r="N34" s="20" t="s">
        <v>25</v>
      </c>
      <c r="O34" s="20" t="s">
        <v>36</v>
      </c>
      <c r="P34" s="18" t="s">
        <v>27</v>
      </c>
      <c r="Q34" s="17" t="s">
        <v>27</v>
      </c>
      <c r="R34" s="20" t="s">
        <v>27</v>
      </c>
      <c r="S34" s="18" t="s">
        <v>27</v>
      </c>
      <c r="T34" s="17" t="s">
        <v>28</v>
      </c>
      <c r="U34" s="18" t="s">
        <v>29</v>
      </c>
      <c r="V34" s="17" t="s">
        <v>30</v>
      </c>
      <c r="W34" s="18" t="s">
        <v>31</v>
      </c>
      <c r="X34" s="21"/>
    </row>
    <row r="35" spans="1:24" ht="12.75">
      <c r="A35" s="22">
        <v>80</v>
      </c>
      <c r="B35" s="23">
        <v>80</v>
      </c>
      <c r="C35" s="23">
        <v>42</v>
      </c>
      <c r="D35" s="24">
        <v>3.9</v>
      </c>
      <c r="E35" s="25">
        <v>5.9</v>
      </c>
      <c r="F35" s="23">
        <v>2.3</v>
      </c>
      <c r="G35" s="25">
        <v>59</v>
      </c>
      <c r="H35" s="23">
        <v>7.58</v>
      </c>
      <c r="I35" s="25">
        <v>5.95</v>
      </c>
      <c r="J35" s="23">
        <v>77.8</v>
      </c>
      <c r="K35" s="25">
        <v>19.5</v>
      </c>
      <c r="L35" s="23">
        <v>3.2</v>
      </c>
      <c r="M35" s="26">
        <v>6.29</v>
      </c>
      <c r="N35" s="25">
        <v>3</v>
      </c>
      <c r="O35" s="26">
        <v>0.91</v>
      </c>
      <c r="P35" s="25">
        <v>22</v>
      </c>
      <c r="Q35" s="26">
        <v>10</v>
      </c>
      <c r="R35" s="35" t="s">
        <v>37</v>
      </c>
      <c r="S35" s="25">
        <v>4.43</v>
      </c>
      <c r="T35" s="26">
        <v>11.4</v>
      </c>
      <c r="U35" s="25">
        <v>6.84</v>
      </c>
      <c r="V35" s="26">
        <v>3.28</v>
      </c>
      <c r="W35" s="25">
        <v>0.304</v>
      </c>
      <c r="X35" s="27" t="s">
        <v>199</v>
      </c>
    </row>
    <row r="36" spans="1:24" ht="12.75">
      <c r="A36" s="22">
        <v>100</v>
      </c>
      <c r="B36" s="26">
        <v>100</v>
      </c>
      <c r="C36" s="26">
        <v>50</v>
      </c>
      <c r="D36" s="26">
        <v>4.5</v>
      </c>
      <c r="E36" s="25">
        <v>6.8</v>
      </c>
      <c r="F36" s="26">
        <v>2.7</v>
      </c>
      <c r="G36" s="25">
        <v>75</v>
      </c>
      <c r="H36" s="26">
        <v>10.6</v>
      </c>
      <c r="I36" s="25">
        <v>8.32</v>
      </c>
      <c r="J36" s="26">
        <v>171</v>
      </c>
      <c r="K36" s="25">
        <v>34.2</v>
      </c>
      <c r="L36" s="26">
        <v>4.01</v>
      </c>
      <c r="M36" s="26">
        <v>12.2</v>
      </c>
      <c r="N36" s="25">
        <v>4.88</v>
      </c>
      <c r="O36" s="26">
        <v>1.07</v>
      </c>
      <c r="P36" s="25">
        <v>28</v>
      </c>
      <c r="Q36" s="26">
        <v>12</v>
      </c>
      <c r="R36" s="35" t="s">
        <v>37</v>
      </c>
      <c r="S36" s="25">
        <v>5.05</v>
      </c>
      <c r="T36" s="26">
        <v>19.9</v>
      </c>
      <c r="U36" s="25">
        <v>8.57</v>
      </c>
      <c r="V36" s="26">
        <v>4.11</v>
      </c>
      <c r="W36" s="25">
        <v>0.37</v>
      </c>
      <c r="X36" s="27" t="s">
        <v>200</v>
      </c>
    </row>
    <row r="37" spans="1:24" ht="12.75">
      <c r="A37" s="22">
        <v>120</v>
      </c>
      <c r="B37" s="26">
        <v>120</v>
      </c>
      <c r="C37" s="26">
        <v>58</v>
      </c>
      <c r="D37" s="26">
        <v>5.1</v>
      </c>
      <c r="E37" s="25">
        <v>7.7</v>
      </c>
      <c r="F37" s="26">
        <v>3.1</v>
      </c>
      <c r="G37" s="25">
        <v>92</v>
      </c>
      <c r="H37" s="26">
        <v>14.2</v>
      </c>
      <c r="I37" s="25">
        <v>11.1</v>
      </c>
      <c r="J37" s="26">
        <v>328</v>
      </c>
      <c r="K37" s="25">
        <v>54.7</v>
      </c>
      <c r="L37" s="26">
        <v>4.81</v>
      </c>
      <c r="M37" s="26">
        <v>21.5</v>
      </c>
      <c r="N37" s="25">
        <v>7.41</v>
      </c>
      <c r="O37" s="26">
        <v>1.23</v>
      </c>
      <c r="P37" s="25">
        <v>32</v>
      </c>
      <c r="Q37" s="26">
        <v>14</v>
      </c>
      <c r="R37" s="35" t="s">
        <v>37</v>
      </c>
      <c r="S37" s="25">
        <v>5.67</v>
      </c>
      <c r="T37" s="26">
        <v>31.8</v>
      </c>
      <c r="U37" s="25">
        <v>10.3</v>
      </c>
      <c r="V37" s="26">
        <v>4.91</v>
      </c>
      <c r="W37" s="25">
        <v>0.439</v>
      </c>
      <c r="X37" s="27" t="s">
        <v>201</v>
      </c>
    </row>
    <row r="38" spans="1:24" ht="12.75">
      <c r="A38" s="22">
        <v>140</v>
      </c>
      <c r="B38" s="26">
        <v>140</v>
      </c>
      <c r="C38" s="26">
        <v>66</v>
      </c>
      <c r="D38" s="26">
        <v>5.7</v>
      </c>
      <c r="E38" s="25">
        <v>8.6</v>
      </c>
      <c r="F38" s="26">
        <v>3.4</v>
      </c>
      <c r="G38" s="25">
        <v>109</v>
      </c>
      <c r="H38" s="26">
        <v>18.3</v>
      </c>
      <c r="I38" s="25">
        <v>14.4</v>
      </c>
      <c r="J38" s="26">
        <v>573</v>
      </c>
      <c r="K38" s="25">
        <v>81.9</v>
      </c>
      <c r="L38" s="26">
        <v>5.61</v>
      </c>
      <c r="M38" s="26">
        <v>35.2</v>
      </c>
      <c r="N38" s="25">
        <v>10.7</v>
      </c>
      <c r="O38" s="26">
        <v>1.4</v>
      </c>
      <c r="P38" s="25">
        <v>34</v>
      </c>
      <c r="Q38" s="26">
        <v>16</v>
      </c>
      <c r="R38" s="35">
        <v>11</v>
      </c>
      <c r="S38" s="25">
        <v>6.29</v>
      </c>
      <c r="T38" s="26">
        <v>47.7</v>
      </c>
      <c r="U38" s="25">
        <v>12</v>
      </c>
      <c r="V38" s="26">
        <v>5.7</v>
      </c>
      <c r="W38" s="25">
        <v>0.502</v>
      </c>
      <c r="X38" s="27" t="s">
        <v>202</v>
      </c>
    </row>
    <row r="39" spans="1:24" ht="12.75">
      <c r="A39" s="22">
        <v>160</v>
      </c>
      <c r="B39" s="26">
        <v>160</v>
      </c>
      <c r="C39" s="26">
        <v>74</v>
      </c>
      <c r="D39" s="26">
        <v>6.3</v>
      </c>
      <c r="E39" s="25">
        <v>9.5</v>
      </c>
      <c r="F39" s="26">
        <v>3.8</v>
      </c>
      <c r="G39" s="25">
        <v>125</v>
      </c>
      <c r="H39" s="26">
        <v>22.8</v>
      </c>
      <c r="I39" s="25">
        <v>17.9</v>
      </c>
      <c r="J39" s="26">
        <v>935</v>
      </c>
      <c r="K39" s="25">
        <v>117</v>
      </c>
      <c r="L39" s="26">
        <v>6.4</v>
      </c>
      <c r="M39" s="26">
        <v>54.7</v>
      </c>
      <c r="N39" s="25">
        <v>14.8</v>
      </c>
      <c r="O39" s="26">
        <v>1.55</v>
      </c>
      <c r="P39" s="25">
        <v>40</v>
      </c>
      <c r="Q39" s="26">
        <v>18</v>
      </c>
      <c r="R39" s="35">
        <v>11</v>
      </c>
      <c r="S39" s="25">
        <v>6.91</v>
      </c>
      <c r="T39" s="26">
        <v>68</v>
      </c>
      <c r="U39" s="25">
        <v>13.7</v>
      </c>
      <c r="V39" s="26">
        <v>6.54</v>
      </c>
      <c r="W39" s="25">
        <v>0.575</v>
      </c>
      <c r="X39" s="27" t="s">
        <v>203</v>
      </c>
    </row>
    <row r="40" spans="1:24" ht="12.75">
      <c r="A40" s="22">
        <v>180</v>
      </c>
      <c r="B40" s="26">
        <v>180</v>
      </c>
      <c r="C40" s="26">
        <v>82</v>
      </c>
      <c r="D40" s="26">
        <v>6.9</v>
      </c>
      <c r="E40" s="25">
        <v>10.4</v>
      </c>
      <c r="F40" s="26">
        <v>4.1</v>
      </c>
      <c r="G40" s="25">
        <v>142</v>
      </c>
      <c r="H40" s="26">
        <v>27.9</v>
      </c>
      <c r="I40" s="25">
        <v>21.9</v>
      </c>
      <c r="J40" s="26">
        <v>1450</v>
      </c>
      <c r="K40" s="25">
        <v>161</v>
      </c>
      <c r="L40" s="26">
        <v>7.2</v>
      </c>
      <c r="M40" s="26">
        <v>81.3</v>
      </c>
      <c r="N40" s="25">
        <v>19.8</v>
      </c>
      <c r="O40" s="26">
        <v>1.71</v>
      </c>
      <c r="P40" s="25">
        <v>44</v>
      </c>
      <c r="Q40" s="26">
        <v>19</v>
      </c>
      <c r="R40" s="35">
        <v>13</v>
      </c>
      <c r="S40" s="25">
        <v>7.53</v>
      </c>
      <c r="T40" s="26">
        <v>93.4</v>
      </c>
      <c r="U40" s="25">
        <v>15.5</v>
      </c>
      <c r="V40" s="26">
        <v>7.35</v>
      </c>
      <c r="W40" s="25">
        <v>0.64</v>
      </c>
      <c r="X40" s="27" t="s">
        <v>204</v>
      </c>
    </row>
    <row r="41" spans="1:24" ht="12.75">
      <c r="A41" s="22">
        <v>200</v>
      </c>
      <c r="B41" s="26">
        <v>200</v>
      </c>
      <c r="C41" s="26">
        <v>90</v>
      </c>
      <c r="D41" s="26">
        <v>7.5</v>
      </c>
      <c r="E41" s="25">
        <v>11.3</v>
      </c>
      <c r="F41" s="26">
        <v>4.5</v>
      </c>
      <c r="G41" s="25">
        <v>159</v>
      </c>
      <c r="H41" s="26">
        <v>33.5</v>
      </c>
      <c r="I41" s="25">
        <v>26.3</v>
      </c>
      <c r="J41" s="26">
        <v>2140</v>
      </c>
      <c r="K41" s="25">
        <v>214</v>
      </c>
      <c r="L41" s="26">
        <v>8</v>
      </c>
      <c r="M41" s="26">
        <v>117</v>
      </c>
      <c r="N41" s="25">
        <v>26</v>
      </c>
      <c r="O41" s="26">
        <v>1.87</v>
      </c>
      <c r="P41" s="25">
        <v>48</v>
      </c>
      <c r="Q41" s="26">
        <v>22</v>
      </c>
      <c r="R41" s="35">
        <v>13</v>
      </c>
      <c r="S41" s="25">
        <v>8.15</v>
      </c>
      <c r="T41" s="26">
        <v>125</v>
      </c>
      <c r="U41" s="25">
        <v>17.2</v>
      </c>
      <c r="V41" s="26">
        <v>8.14</v>
      </c>
      <c r="W41" s="25">
        <v>0.709</v>
      </c>
      <c r="X41" s="27" t="s">
        <v>205</v>
      </c>
    </row>
    <row r="42" spans="1:24" ht="12.75">
      <c r="A42" s="22">
        <v>220</v>
      </c>
      <c r="B42" s="26">
        <v>220</v>
      </c>
      <c r="C42" s="26">
        <v>98</v>
      </c>
      <c r="D42" s="26">
        <v>8.1</v>
      </c>
      <c r="E42" s="25">
        <v>12.2</v>
      </c>
      <c r="F42" s="26">
        <v>4.9</v>
      </c>
      <c r="G42" s="25">
        <v>175</v>
      </c>
      <c r="H42" s="26">
        <v>39.6</v>
      </c>
      <c r="I42" s="25">
        <v>31.1</v>
      </c>
      <c r="J42" s="26">
        <v>3060</v>
      </c>
      <c r="K42" s="25">
        <v>278</v>
      </c>
      <c r="L42" s="26">
        <v>8.8</v>
      </c>
      <c r="M42" s="26">
        <v>162</v>
      </c>
      <c r="N42" s="25">
        <v>33.1</v>
      </c>
      <c r="O42" s="26">
        <v>2.02</v>
      </c>
      <c r="P42" s="25">
        <v>52</v>
      </c>
      <c r="Q42" s="26">
        <v>23</v>
      </c>
      <c r="R42" s="35">
        <v>13</v>
      </c>
      <c r="S42" s="25">
        <v>8.77</v>
      </c>
      <c r="T42" s="26">
        <v>162</v>
      </c>
      <c r="U42" s="25">
        <v>18.9</v>
      </c>
      <c r="V42" s="26">
        <v>8.94</v>
      </c>
      <c r="W42" s="25">
        <v>0.775</v>
      </c>
      <c r="X42" s="27" t="s">
        <v>206</v>
      </c>
    </row>
    <row r="43" spans="1:24" ht="12.75">
      <c r="A43" s="22">
        <v>240</v>
      </c>
      <c r="B43" s="26">
        <v>240</v>
      </c>
      <c r="C43" s="26">
        <v>106</v>
      </c>
      <c r="D43" s="26">
        <v>8.7</v>
      </c>
      <c r="E43" s="25">
        <v>13.1</v>
      </c>
      <c r="F43" s="26">
        <v>5.2</v>
      </c>
      <c r="G43" s="25">
        <v>192</v>
      </c>
      <c r="H43" s="26">
        <v>46.1</v>
      </c>
      <c r="I43" s="25">
        <v>36.2</v>
      </c>
      <c r="J43" s="26">
        <v>4250</v>
      </c>
      <c r="K43" s="25">
        <v>354</v>
      </c>
      <c r="L43" s="26">
        <v>9.59</v>
      </c>
      <c r="M43" s="26">
        <v>221</v>
      </c>
      <c r="N43" s="25">
        <v>41.7</v>
      </c>
      <c r="O43" s="26">
        <v>2.2</v>
      </c>
      <c r="P43" s="25">
        <v>56</v>
      </c>
      <c r="Q43" s="26">
        <v>25</v>
      </c>
      <c r="R43" s="35">
        <v>17</v>
      </c>
      <c r="S43" s="25">
        <v>9.39</v>
      </c>
      <c r="T43" s="26">
        <v>206</v>
      </c>
      <c r="U43" s="25">
        <v>20.6</v>
      </c>
      <c r="V43" s="26">
        <v>9.78</v>
      </c>
      <c r="W43" s="25">
        <v>0.844</v>
      </c>
      <c r="X43" s="27" t="s">
        <v>207</v>
      </c>
    </row>
    <row r="44" spans="1:24" ht="12.75">
      <c r="A44" s="22">
        <v>260</v>
      </c>
      <c r="B44" s="26">
        <v>260</v>
      </c>
      <c r="C44" s="26">
        <v>113</v>
      </c>
      <c r="D44" s="26">
        <v>9.4</v>
      </c>
      <c r="E44" s="25">
        <v>14.1</v>
      </c>
      <c r="F44" s="26">
        <v>5.6</v>
      </c>
      <c r="G44" s="25">
        <v>208</v>
      </c>
      <c r="H44" s="26">
        <v>53.4</v>
      </c>
      <c r="I44" s="25">
        <v>41.9</v>
      </c>
      <c r="J44" s="26">
        <v>5740</v>
      </c>
      <c r="K44" s="25">
        <v>442</v>
      </c>
      <c r="L44" s="26">
        <v>10.4</v>
      </c>
      <c r="M44" s="26">
        <v>288</v>
      </c>
      <c r="N44" s="25">
        <v>51</v>
      </c>
      <c r="O44" s="26">
        <v>2.32</v>
      </c>
      <c r="P44" s="25">
        <v>60</v>
      </c>
      <c r="Q44" s="26">
        <v>27.5</v>
      </c>
      <c r="R44" s="35">
        <v>17</v>
      </c>
      <c r="S44" s="25">
        <v>10.15</v>
      </c>
      <c r="T44" s="26">
        <v>257</v>
      </c>
      <c r="U44" s="25">
        <v>22.3</v>
      </c>
      <c r="V44" s="26">
        <v>10.5</v>
      </c>
      <c r="W44" s="25">
        <v>0.906</v>
      </c>
      <c r="X44" s="27" t="s">
        <v>208</v>
      </c>
    </row>
    <row r="45" spans="1:24" ht="12.75">
      <c r="A45" s="22">
        <v>280</v>
      </c>
      <c r="B45" s="26">
        <v>280</v>
      </c>
      <c r="C45" s="26">
        <v>119</v>
      </c>
      <c r="D45" s="26">
        <v>10.1</v>
      </c>
      <c r="E45" s="25">
        <v>15.2</v>
      </c>
      <c r="F45" s="26">
        <v>6.1</v>
      </c>
      <c r="G45" s="25">
        <v>225</v>
      </c>
      <c r="H45" s="26">
        <v>61.1</v>
      </c>
      <c r="I45" s="25">
        <v>48</v>
      </c>
      <c r="J45" s="26">
        <v>7590</v>
      </c>
      <c r="K45" s="25">
        <v>542</v>
      </c>
      <c r="L45" s="26">
        <v>11.1</v>
      </c>
      <c r="M45" s="26">
        <v>364</v>
      </c>
      <c r="N45" s="25">
        <v>61.2</v>
      </c>
      <c r="O45" s="26">
        <v>2.45</v>
      </c>
      <c r="P45" s="25">
        <v>62</v>
      </c>
      <c r="Q45" s="26">
        <v>28.5</v>
      </c>
      <c r="R45" s="35">
        <v>17</v>
      </c>
      <c r="S45" s="25">
        <v>11.04</v>
      </c>
      <c r="T45" s="26">
        <v>316</v>
      </c>
      <c r="U45" s="25">
        <v>24</v>
      </c>
      <c r="V45" s="26">
        <v>11.3</v>
      </c>
      <c r="W45" s="25">
        <v>0.966</v>
      </c>
      <c r="X45" s="27" t="s">
        <v>209</v>
      </c>
    </row>
    <row r="46" spans="1:24" ht="12.75">
      <c r="A46" s="22">
        <v>300</v>
      </c>
      <c r="B46" s="26">
        <v>300</v>
      </c>
      <c r="C46" s="26">
        <v>125</v>
      </c>
      <c r="D46" s="26">
        <v>10.8</v>
      </c>
      <c r="E46" s="25">
        <v>16.2</v>
      </c>
      <c r="F46" s="26">
        <v>6.5</v>
      </c>
      <c r="G46" s="25">
        <v>241</v>
      </c>
      <c r="H46" s="26">
        <v>69.1</v>
      </c>
      <c r="I46" s="25">
        <v>54.2</v>
      </c>
      <c r="J46" s="26">
        <v>9800</v>
      </c>
      <c r="K46" s="25">
        <v>653</v>
      </c>
      <c r="L46" s="26">
        <v>11.9</v>
      </c>
      <c r="M46" s="26">
        <v>451</v>
      </c>
      <c r="N46" s="25">
        <v>72.2</v>
      </c>
      <c r="O46" s="26">
        <v>2.56</v>
      </c>
      <c r="P46" s="25">
        <v>64</v>
      </c>
      <c r="Q46" s="26">
        <v>30.5</v>
      </c>
      <c r="R46" s="35">
        <v>21</v>
      </c>
      <c r="S46" s="25">
        <v>11.83</v>
      </c>
      <c r="T46" s="26">
        <v>381</v>
      </c>
      <c r="U46" s="25">
        <v>25.7</v>
      </c>
      <c r="V46" s="26">
        <v>12</v>
      </c>
      <c r="W46" s="25">
        <v>1.03</v>
      </c>
      <c r="X46" s="27" t="s">
        <v>210</v>
      </c>
    </row>
    <row r="47" spans="1:24" ht="12.75">
      <c r="A47" s="22">
        <v>320</v>
      </c>
      <c r="B47" s="26">
        <v>320</v>
      </c>
      <c r="C47" s="26">
        <v>131</v>
      </c>
      <c r="D47" s="26">
        <v>11.5</v>
      </c>
      <c r="E47" s="25">
        <v>17.3</v>
      </c>
      <c r="F47" s="26">
        <v>6.9</v>
      </c>
      <c r="G47" s="25">
        <v>257</v>
      </c>
      <c r="H47" s="26">
        <v>77.8</v>
      </c>
      <c r="I47" s="25">
        <v>61.1</v>
      </c>
      <c r="J47" s="26">
        <v>12510</v>
      </c>
      <c r="K47" s="25">
        <v>782</v>
      </c>
      <c r="L47" s="26">
        <v>12.7</v>
      </c>
      <c r="M47" s="26">
        <v>555</v>
      </c>
      <c r="N47" s="25">
        <v>84.7</v>
      </c>
      <c r="O47" s="26">
        <v>2.67</v>
      </c>
      <c r="P47" s="25">
        <v>70</v>
      </c>
      <c r="Q47" s="26">
        <v>30.5</v>
      </c>
      <c r="R47" s="35">
        <v>21</v>
      </c>
      <c r="S47" s="25">
        <v>12.72</v>
      </c>
      <c r="T47" s="26">
        <v>457</v>
      </c>
      <c r="U47" s="25">
        <v>27.4</v>
      </c>
      <c r="V47" s="26">
        <v>12.8</v>
      </c>
      <c r="W47" s="25">
        <v>1.091</v>
      </c>
      <c r="X47" s="27" t="s">
        <v>211</v>
      </c>
    </row>
    <row r="48" spans="1:24" ht="12.75">
      <c r="A48" s="22">
        <v>340</v>
      </c>
      <c r="B48" s="26">
        <v>340</v>
      </c>
      <c r="C48" s="26">
        <v>137</v>
      </c>
      <c r="D48" s="26">
        <v>12.2</v>
      </c>
      <c r="E48" s="25">
        <v>18.3</v>
      </c>
      <c r="F48" s="26">
        <v>7.3</v>
      </c>
      <c r="G48" s="25">
        <v>274</v>
      </c>
      <c r="H48" s="26">
        <v>86.8</v>
      </c>
      <c r="I48" s="25">
        <v>68.1</v>
      </c>
      <c r="J48" s="26">
        <v>15700</v>
      </c>
      <c r="K48" s="25">
        <v>923</v>
      </c>
      <c r="L48" s="26">
        <v>13.5</v>
      </c>
      <c r="M48" s="26">
        <v>674</v>
      </c>
      <c r="N48" s="25">
        <v>98.4</v>
      </c>
      <c r="O48" s="26">
        <v>2.8</v>
      </c>
      <c r="P48" s="25">
        <v>74</v>
      </c>
      <c r="Q48" s="26">
        <v>31.5</v>
      </c>
      <c r="R48" s="35">
        <v>21</v>
      </c>
      <c r="S48" s="25">
        <v>13.51</v>
      </c>
      <c r="T48" s="26">
        <v>540</v>
      </c>
      <c r="U48" s="25">
        <v>29.1</v>
      </c>
      <c r="V48" s="26">
        <v>13.6</v>
      </c>
      <c r="W48" s="25">
        <v>1.152</v>
      </c>
      <c r="X48" s="27" t="s">
        <v>212</v>
      </c>
    </row>
    <row r="49" spans="1:24" ht="12.75">
      <c r="A49" s="22">
        <v>360</v>
      </c>
      <c r="B49" s="26">
        <v>360</v>
      </c>
      <c r="C49" s="26">
        <v>143</v>
      </c>
      <c r="D49" s="26">
        <v>13</v>
      </c>
      <c r="E49" s="25">
        <v>19.5</v>
      </c>
      <c r="F49" s="26">
        <v>7.8</v>
      </c>
      <c r="G49" s="25">
        <v>290</v>
      </c>
      <c r="H49" s="26">
        <v>97.1</v>
      </c>
      <c r="I49" s="25">
        <v>76.2</v>
      </c>
      <c r="J49" s="26">
        <v>19610</v>
      </c>
      <c r="K49" s="25">
        <v>1090</v>
      </c>
      <c r="L49" s="26">
        <v>14.2</v>
      </c>
      <c r="M49" s="26">
        <v>818</v>
      </c>
      <c r="N49" s="25">
        <v>114</v>
      </c>
      <c r="O49" s="26">
        <v>2.9</v>
      </c>
      <c r="P49" s="25">
        <v>76</v>
      </c>
      <c r="Q49" s="26">
        <v>34.5</v>
      </c>
      <c r="R49" s="35">
        <v>23</v>
      </c>
      <c r="S49" s="25">
        <v>14.5</v>
      </c>
      <c r="T49" s="26">
        <v>638</v>
      </c>
      <c r="U49" s="25">
        <v>30.7</v>
      </c>
      <c r="V49" s="26">
        <v>14.3</v>
      </c>
      <c r="W49" s="25">
        <v>1.208</v>
      </c>
      <c r="X49" s="27" t="s">
        <v>213</v>
      </c>
    </row>
    <row r="50" spans="1:24" ht="12.75">
      <c r="A50" s="22">
        <v>380</v>
      </c>
      <c r="B50" s="26">
        <v>380</v>
      </c>
      <c r="C50" s="26">
        <v>149</v>
      </c>
      <c r="D50" s="26">
        <v>13.7</v>
      </c>
      <c r="E50" s="25">
        <v>20.5</v>
      </c>
      <c r="F50" s="26">
        <v>8.2</v>
      </c>
      <c r="G50" s="25">
        <v>306</v>
      </c>
      <c r="H50" s="26">
        <v>107</v>
      </c>
      <c r="I50" s="25">
        <v>84</v>
      </c>
      <c r="J50" s="26">
        <v>24010</v>
      </c>
      <c r="K50" s="25">
        <v>1260</v>
      </c>
      <c r="L50" s="26">
        <v>15</v>
      </c>
      <c r="M50" s="26">
        <v>975</v>
      </c>
      <c r="N50" s="25">
        <v>131</v>
      </c>
      <c r="O50" s="26">
        <v>3.02</v>
      </c>
      <c r="P50" s="25">
        <v>82</v>
      </c>
      <c r="Q50" s="26">
        <v>34.5</v>
      </c>
      <c r="R50" s="35">
        <v>23</v>
      </c>
      <c r="S50" s="25">
        <v>15.29</v>
      </c>
      <c r="T50" s="26">
        <v>741</v>
      </c>
      <c r="U50" s="25">
        <v>32.4</v>
      </c>
      <c r="V50" s="26">
        <v>15.1</v>
      </c>
      <c r="W50" s="25">
        <v>1.266</v>
      </c>
      <c r="X50" s="27" t="s">
        <v>214</v>
      </c>
    </row>
    <row r="51" spans="1:24" ht="12.75">
      <c r="A51" s="22">
        <v>400</v>
      </c>
      <c r="B51" s="26">
        <v>400</v>
      </c>
      <c r="C51" s="26">
        <v>155</v>
      </c>
      <c r="D51" s="26">
        <v>14.4</v>
      </c>
      <c r="E51" s="25">
        <v>21.6</v>
      </c>
      <c r="F51" s="26">
        <v>8.6</v>
      </c>
      <c r="G51" s="25">
        <v>323</v>
      </c>
      <c r="H51" s="26">
        <v>118</v>
      </c>
      <c r="I51" s="25">
        <v>92.6</v>
      </c>
      <c r="J51" s="26">
        <v>29210</v>
      </c>
      <c r="K51" s="25">
        <v>1460</v>
      </c>
      <c r="L51" s="26">
        <v>15.7</v>
      </c>
      <c r="M51" s="26">
        <v>1160</v>
      </c>
      <c r="N51" s="25">
        <v>149</v>
      </c>
      <c r="O51" s="26">
        <v>3.13</v>
      </c>
      <c r="P51" s="25">
        <v>86</v>
      </c>
      <c r="Q51" s="26">
        <v>35.5</v>
      </c>
      <c r="R51" s="35">
        <v>23</v>
      </c>
      <c r="S51" s="25">
        <v>16.18</v>
      </c>
      <c r="T51" s="26">
        <v>857</v>
      </c>
      <c r="U51" s="25">
        <v>34.1</v>
      </c>
      <c r="V51" s="26">
        <v>15.8</v>
      </c>
      <c r="W51" s="25">
        <v>1.33</v>
      </c>
      <c r="X51" s="27" t="s">
        <v>215</v>
      </c>
    </row>
    <row r="52" spans="1:24" ht="12.75">
      <c r="A52" s="22">
        <v>450</v>
      </c>
      <c r="B52" s="26">
        <v>450</v>
      </c>
      <c r="C52" s="26">
        <v>170</v>
      </c>
      <c r="D52" s="26">
        <v>16.2</v>
      </c>
      <c r="E52" s="25">
        <v>24.3</v>
      </c>
      <c r="F52" s="26">
        <v>9.7</v>
      </c>
      <c r="G52" s="25">
        <v>363</v>
      </c>
      <c r="H52" s="26">
        <v>147</v>
      </c>
      <c r="I52" s="25">
        <v>115</v>
      </c>
      <c r="J52" s="26">
        <v>45850</v>
      </c>
      <c r="K52" s="25">
        <v>2040</v>
      </c>
      <c r="L52" s="26">
        <v>17.7</v>
      </c>
      <c r="M52" s="26">
        <v>1730</v>
      </c>
      <c r="N52" s="25">
        <v>203</v>
      </c>
      <c r="O52" s="26">
        <v>3.43</v>
      </c>
      <c r="P52" s="25">
        <v>94</v>
      </c>
      <c r="Q52" s="26">
        <v>39</v>
      </c>
      <c r="R52" s="35">
        <v>25</v>
      </c>
      <c r="S52" s="25">
        <v>18.35</v>
      </c>
      <c r="T52" s="26">
        <v>1200</v>
      </c>
      <c r="U52" s="25">
        <v>38.3</v>
      </c>
      <c r="V52" s="26">
        <v>17.7</v>
      </c>
      <c r="W52" s="25">
        <v>1.478</v>
      </c>
      <c r="X52" s="27" t="s">
        <v>216</v>
      </c>
    </row>
    <row r="53" spans="1:24" ht="12.75">
      <c r="A53" s="22">
        <v>500</v>
      </c>
      <c r="B53" s="26">
        <v>500</v>
      </c>
      <c r="C53" s="26">
        <v>185</v>
      </c>
      <c r="D53" s="26">
        <v>18</v>
      </c>
      <c r="E53" s="25">
        <v>27</v>
      </c>
      <c r="F53" s="26">
        <v>10.8</v>
      </c>
      <c r="G53" s="25">
        <v>404</v>
      </c>
      <c r="H53" s="26">
        <v>180</v>
      </c>
      <c r="I53" s="25">
        <v>141</v>
      </c>
      <c r="J53" s="26">
        <v>68740</v>
      </c>
      <c r="K53" s="25">
        <v>2750</v>
      </c>
      <c r="L53" s="26">
        <v>19.6</v>
      </c>
      <c r="M53" s="26">
        <v>2480</v>
      </c>
      <c r="N53" s="25">
        <v>268</v>
      </c>
      <c r="O53" s="26">
        <v>3.72</v>
      </c>
      <c r="P53" s="25">
        <v>100</v>
      </c>
      <c r="Q53" s="26">
        <v>42.5</v>
      </c>
      <c r="R53" s="35">
        <v>28</v>
      </c>
      <c r="S53" s="25">
        <v>20.53</v>
      </c>
      <c r="T53" s="26">
        <v>1620</v>
      </c>
      <c r="U53" s="25">
        <v>42.4</v>
      </c>
      <c r="V53" s="26">
        <v>19.5</v>
      </c>
      <c r="W53" s="25">
        <v>1.626</v>
      </c>
      <c r="X53" s="27" t="s">
        <v>217</v>
      </c>
    </row>
    <row r="54" spans="1:24" ht="12.75">
      <c r="A54" s="22">
        <v>550</v>
      </c>
      <c r="B54" s="26">
        <v>550</v>
      </c>
      <c r="C54" s="26">
        <v>200</v>
      </c>
      <c r="D54" s="26">
        <v>19</v>
      </c>
      <c r="E54" s="25">
        <v>30</v>
      </c>
      <c r="F54" s="26">
        <v>11.9</v>
      </c>
      <c r="G54" s="25">
        <v>444</v>
      </c>
      <c r="H54" s="26">
        <v>213</v>
      </c>
      <c r="I54" s="25">
        <v>167</v>
      </c>
      <c r="J54" s="26">
        <v>99180</v>
      </c>
      <c r="K54" s="25">
        <v>3610</v>
      </c>
      <c r="L54" s="26">
        <v>21.6</v>
      </c>
      <c r="M54" s="26">
        <v>3490</v>
      </c>
      <c r="N54" s="25">
        <v>349</v>
      </c>
      <c r="O54" s="26">
        <v>4.02</v>
      </c>
      <c r="P54" s="25">
        <v>110</v>
      </c>
      <c r="Q54" s="26">
        <v>45</v>
      </c>
      <c r="R54" s="35">
        <v>28</v>
      </c>
      <c r="S54" s="25">
        <v>23</v>
      </c>
      <c r="T54" s="26">
        <v>2120</v>
      </c>
      <c r="U54" s="25">
        <v>46.8</v>
      </c>
      <c r="V54" s="26">
        <v>21.6</v>
      </c>
      <c r="W54" s="25">
        <v>1.797</v>
      </c>
      <c r="X54" s="27" t="s">
        <v>218</v>
      </c>
    </row>
    <row r="55" spans="1:24" ht="13.5" thickBot="1">
      <c r="A55" s="31">
        <v>600</v>
      </c>
      <c r="B55" s="32">
        <v>600</v>
      </c>
      <c r="C55" s="32">
        <v>215</v>
      </c>
      <c r="D55" s="32">
        <v>21.6</v>
      </c>
      <c r="E55" s="33">
        <v>32.4</v>
      </c>
      <c r="F55" s="32">
        <v>13</v>
      </c>
      <c r="G55" s="33">
        <v>485</v>
      </c>
      <c r="H55" s="32">
        <v>254</v>
      </c>
      <c r="I55" s="33">
        <v>199</v>
      </c>
      <c r="J55" s="32">
        <v>139000</v>
      </c>
      <c r="K55" s="33">
        <v>4630</v>
      </c>
      <c r="L55" s="32">
        <v>23.4</v>
      </c>
      <c r="M55" s="32">
        <v>4670</v>
      </c>
      <c r="N55" s="33">
        <v>434</v>
      </c>
      <c r="O55" s="32">
        <v>4.3</v>
      </c>
      <c r="P55" s="33">
        <v>120</v>
      </c>
      <c r="Q55" s="32">
        <v>47.5</v>
      </c>
      <c r="R55" s="36">
        <v>28</v>
      </c>
      <c r="S55" s="33">
        <v>24.88</v>
      </c>
      <c r="T55" s="32">
        <v>2730</v>
      </c>
      <c r="U55" s="33">
        <v>50.9</v>
      </c>
      <c r="V55" s="32">
        <v>23.2</v>
      </c>
      <c r="W55" s="33">
        <v>1.924</v>
      </c>
      <c r="X55" s="34" t="s">
        <v>219</v>
      </c>
    </row>
    <row r="58" ht="13.5" thickBot="1"/>
    <row r="59" spans="1:24" ht="19.5">
      <c r="A59" s="1" t="s">
        <v>38</v>
      </c>
      <c r="B59" s="2"/>
      <c r="C59" s="3" t="s">
        <v>1</v>
      </c>
      <c r="D59" s="3"/>
      <c r="E59" s="4"/>
      <c r="F59" s="4"/>
      <c r="G59" s="5"/>
      <c r="H59" s="6" t="s">
        <v>2</v>
      </c>
      <c r="I59" s="7" t="s">
        <v>3</v>
      </c>
      <c r="J59" s="8"/>
      <c r="K59" s="7" t="s">
        <v>4</v>
      </c>
      <c r="L59" s="9"/>
      <c r="M59" s="8"/>
      <c r="N59" s="10" t="s">
        <v>5</v>
      </c>
      <c r="O59" s="11"/>
      <c r="P59" s="7" t="s">
        <v>6</v>
      </c>
      <c r="Q59" s="6" t="s">
        <v>7</v>
      </c>
      <c r="R59" s="9" t="s">
        <v>39</v>
      </c>
      <c r="S59" s="7" t="s">
        <v>8</v>
      </c>
      <c r="T59" s="6" t="s">
        <v>9</v>
      </c>
      <c r="U59" s="7" t="s">
        <v>10</v>
      </c>
      <c r="V59" s="12" t="s">
        <v>11</v>
      </c>
      <c r="W59" s="7" t="s">
        <v>12</v>
      </c>
      <c r="X59" s="13" t="s">
        <v>38</v>
      </c>
    </row>
    <row r="60" spans="1:24" ht="12.75">
      <c r="A60" s="14"/>
      <c r="B60" s="15" t="s">
        <v>13</v>
      </c>
      <c r="C60" s="16" t="s">
        <v>14</v>
      </c>
      <c r="D60" s="16" t="s">
        <v>15</v>
      </c>
      <c r="E60" s="16" t="s">
        <v>16</v>
      </c>
      <c r="F60" s="16" t="s">
        <v>17</v>
      </c>
      <c r="G60" s="16" t="s">
        <v>18</v>
      </c>
      <c r="H60" s="17" t="s">
        <v>19</v>
      </c>
      <c r="I60" s="18" t="s">
        <v>20</v>
      </c>
      <c r="J60" s="17" t="s">
        <v>21</v>
      </c>
      <c r="K60" s="19" t="s">
        <v>22</v>
      </c>
      <c r="L60" s="19" t="s">
        <v>23</v>
      </c>
      <c r="M60" s="17" t="s">
        <v>24</v>
      </c>
      <c r="N60" s="20" t="s">
        <v>25</v>
      </c>
      <c r="O60" s="20" t="s">
        <v>26</v>
      </c>
      <c r="P60" s="18" t="s">
        <v>27</v>
      </c>
      <c r="Q60" s="17" t="s">
        <v>27</v>
      </c>
      <c r="R60" s="20"/>
      <c r="S60" s="18" t="s">
        <v>27</v>
      </c>
      <c r="T60" s="17" t="s">
        <v>28</v>
      </c>
      <c r="U60" s="18" t="s">
        <v>29</v>
      </c>
      <c r="V60" s="17" t="s">
        <v>30</v>
      </c>
      <c r="W60" s="18" t="s">
        <v>31</v>
      </c>
      <c r="X60" s="21"/>
    </row>
    <row r="61" spans="1:24" ht="12.75">
      <c r="A61" s="22">
        <v>100</v>
      </c>
      <c r="B61" s="23">
        <v>100</v>
      </c>
      <c r="C61" s="23">
        <v>100</v>
      </c>
      <c r="D61" s="24">
        <v>6</v>
      </c>
      <c r="E61" s="25">
        <v>10</v>
      </c>
      <c r="F61" s="23">
        <v>12</v>
      </c>
      <c r="G61" s="25">
        <v>56</v>
      </c>
      <c r="H61" s="23">
        <v>26</v>
      </c>
      <c r="I61" s="25">
        <v>20.4</v>
      </c>
      <c r="J61" s="23">
        <v>450</v>
      </c>
      <c r="K61" s="25">
        <v>89.9</v>
      </c>
      <c r="L61" s="23">
        <v>4.16</v>
      </c>
      <c r="M61" s="26">
        <v>167</v>
      </c>
      <c r="N61" s="25">
        <v>33.5</v>
      </c>
      <c r="O61" s="26">
        <v>2.53</v>
      </c>
      <c r="P61" s="25">
        <v>53</v>
      </c>
      <c r="Q61" s="26" t="s">
        <v>37</v>
      </c>
      <c r="R61" s="35">
        <v>22.5</v>
      </c>
      <c r="S61" s="25">
        <v>13</v>
      </c>
      <c r="T61" s="26">
        <v>52.1</v>
      </c>
      <c r="U61" s="25">
        <v>8.63</v>
      </c>
      <c r="V61" s="26">
        <v>4.41</v>
      </c>
      <c r="W61" s="25">
        <v>0.567</v>
      </c>
      <c r="X61" s="27" t="s">
        <v>220</v>
      </c>
    </row>
    <row r="62" spans="1:24" ht="12.75">
      <c r="A62" s="22">
        <v>120</v>
      </c>
      <c r="B62" s="26">
        <v>120</v>
      </c>
      <c r="C62" s="26">
        <v>120</v>
      </c>
      <c r="D62" s="26">
        <v>6.5</v>
      </c>
      <c r="E62" s="25">
        <v>11</v>
      </c>
      <c r="F62" s="26">
        <v>12</v>
      </c>
      <c r="G62" s="25">
        <v>74</v>
      </c>
      <c r="H62" s="26">
        <v>34</v>
      </c>
      <c r="I62" s="25">
        <v>26.7</v>
      </c>
      <c r="J62" s="26">
        <v>864</v>
      </c>
      <c r="K62" s="25">
        <v>144</v>
      </c>
      <c r="L62" s="26">
        <v>5.04</v>
      </c>
      <c r="M62" s="26">
        <v>318</v>
      </c>
      <c r="N62" s="25">
        <v>52.9</v>
      </c>
      <c r="O62" s="26">
        <v>3.06</v>
      </c>
      <c r="P62" s="25">
        <v>65</v>
      </c>
      <c r="Q62" s="26" t="s">
        <v>37</v>
      </c>
      <c r="R62" s="35">
        <v>27.5</v>
      </c>
      <c r="S62" s="25">
        <v>17</v>
      </c>
      <c r="T62" s="26">
        <v>82.6</v>
      </c>
      <c r="U62" s="25">
        <v>10.5</v>
      </c>
      <c r="V62" s="26">
        <v>5.39</v>
      </c>
      <c r="W62" s="25">
        <v>0.686</v>
      </c>
      <c r="X62" s="27" t="s">
        <v>221</v>
      </c>
    </row>
    <row r="63" spans="1:24" ht="12.75">
      <c r="A63" s="22">
        <v>140</v>
      </c>
      <c r="B63" s="26">
        <v>140</v>
      </c>
      <c r="C63" s="26">
        <v>140</v>
      </c>
      <c r="D63" s="26">
        <v>7</v>
      </c>
      <c r="E63" s="25">
        <v>12</v>
      </c>
      <c r="F63" s="26">
        <v>12</v>
      </c>
      <c r="G63" s="25">
        <v>92</v>
      </c>
      <c r="H63" s="26">
        <v>43</v>
      </c>
      <c r="I63" s="25">
        <v>33.7</v>
      </c>
      <c r="J63" s="26">
        <v>1510</v>
      </c>
      <c r="K63" s="25">
        <v>216</v>
      </c>
      <c r="L63" s="26">
        <v>5.93</v>
      </c>
      <c r="M63" s="26">
        <v>550</v>
      </c>
      <c r="N63" s="25">
        <v>78.5</v>
      </c>
      <c r="O63" s="26">
        <v>3.58</v>
      </c>
      <c r="P63" s="25">
        <v>75</v>
      </c>
      <c r="Q63" s="26" t="s">
        <v>37</v>
      </c>
      <c r="R63" s="35">
        <v>32.5</v>
      </c>
      <c r="S63" s="25">
        <v>21</v>
      </c>
      <c r="T63" s="26">
        <v>123</v>
      </c>
      <c r="U63" s="25">
        <v>12.3</v>
      </c>
      <c r="V63" s="26">
        <v>6.41</v>
      </c>
      <c r="W63" s="25">
        <v>0.805</v>
      </c>
      <c r="X63" s="27" t="s">
        <v>222</v>
      </c>
    </row>
    <row r="64" spans="1:24" ht="12.75">
      <c r="A64" s="22">
        <v>160</v>
      </c>
      <c r="B64" s="26">
        <v>160</v>
      </c>
      <c r="C64" s="26">
        <v>160</v>
      </c>
      <c r="D64" s="26">
        <v>8</v>
      </c>
      <c r="E64" s="25">
        <v>13</v>
      </c>
      <c r="F64" s="26">
        <v>15</v>
      </c>
      <c r="G64" s="25">
        <v>104</v>
      </c>
      <c r="H64" s="26">
        <v>54.3</v>
      </c>
      <c r="I64" s="25">
        <v>42.6</v>
      </c>
      <c r="J64" s="26">
        <v>2490</v>
      </c>
      <c r="K64" s="25">
        <v>311</v>
      </c>
      <c r="L64" s="26">
        <v>6.78</v>
      </c>
      <c r="M64" s="26">
        <v>889</v>
      </c>
      <c r="N64" s="25">
        <v>111</v>
      </c>
      <c r="O64" s="26">
        <v>4.05</v>
      </c>
      <c r="P64" s="25">
        <v>85</v>
      </c>
      <c r="Q64" s="26" t="s">
        <v>37</v>
      </c>
      <c r="R64" s="35">
        <v>37.5</v>
      </c>
      <c r="S64" s="25">
        <v>23</v>
      </c>
      <c r="T64" s="26">
        <v>177</v>
      </c>
      <c r="U64" s="25">
        <v>14.1</v>
      </c>
      <c r="V64" s="26">
        <v>7.3</v>
      </c>
      <c r="W64" s="25">
        <v>0.918</v>
      </c>
      <c r="X64" s="27" t="s">
        <v>223</v>
      </c>
    </row>
    <row r="65" spans="1:24" ht="12.75">
      <c r="A65" s="22">
        <v>180</v>
      </c>
      <c r="B65" s="26">
        <v>180</v>
      </c>
      <c r="C65" s="26">
        <v>180</v>
      </c>
      <c r="D65" s="26">
        <v>8.5</v>
      </c>
      <c r="E65" s="25">
        <v>14</v>
      </c>
      <c r="F65" s="26">
        <v>15</v>
      </c>
      <c r="G65" s="25">
        <v>122</v>
      </c>
      <c r="H65" s="26">
        <v>65.3</v>
      </c>
      <c r="I65" s="25">
        <v>51.2</v>
      </c>
      <c r="J65" s="26">
        <v>3830</v>
      </c>
      <c r="K65" s="25">
        <v>426</v>
      </c>
      <c r="L65" s="26">
        <v>7.66</v>
      </c>
      <c r="M65" s="26">
        <v>1360</v>
      </c>
      <c r="N65" s="25">
        <v>151</v>
      </c>
      <c r="O65" s="26">
        <v>4.57</v>
      </c>
      <c r="P65" s="25">
        <v>100</v>
      </c>
      <c r="Q65" s="26" t="s">
        <v>37</v>
      </c>
      <c r="R65" s="35">
        <v>40</v>
      </c>
      <c r="S65" s="25">
        <v>25</v>
      </c>
      <c r="T65" s="26">
        <v>241</v>
      </c>
      <c r="U65" s="25">
        <v>15.9</v>
      </c>
      <c r="V65" s="26">
        <v>8.32</v>
      </c>
      <c r="W65" s="25">
        <v>1.04</v>
      </c>
      <c r="X65" s="27" t="s">
        <v>224</v>
      </c>
    </row>
    <row r="66" spans="1:24" ht="12.75">
      <c r="A66" s="22">
        <v>200</v>
      </c>
      <c r="B66" s="26">
        <v>200</v>
      </c>
      <c r="C66" s="26">
        <v>200</v>
      </c>
      <c r="D66" s="26">
        <v>9</v>
      </c>
      <c r="E66" s="25">
        <v>15</v>
      </c>
      <c r="F66" s="26">
        <v>18</v>
      </c>
      <c r="G66" s="25">
        <v>134</v>
      </c>
      <c r="H66" s="26">
        <v>78.1</v>
      </c>
      <c r="I66" s="25">
        <v>61.3</v>
      </c>
      <c r="J66" s="26">
        <v>5700</v>
      </c>
      <c r="K66" s="25">
        <v>570</v>
      </c>
      <c r="L66" s="26">
        <v>8.54</v>
      </c>
      <c r="M66" s="26">
        <v>2000</v>
      </c>
      <c r="N66" s="25">
        <v>200</v>
      </c>
      <c r="O66" s="26">
        <v>5.07</v>
      </c>
      <c r="P66" s="25">
        <v>110</v>
      </c>
      <c r="Q66" s="26" t="s">
        <v>37</v>
      </c>
      <c r="R66" s="35">
        <v>45</v>
      </c>
      <c r="S66" s="25">
        <v>25</v>
      </c>
      <c r="T66" s="26">
        <v>321</v>
      </c>
      <c r="U66" s="25">
        <v>17.7</v>
      </c>
      <c r="V66" s="26">
        <v>9.3</v>
      </c>
      <c r="W66" s="25">
        <v>1.15</v>
      </c>
      <c r="X66" s="27" t="s">
        <v>225</v>
      </c>
    </row>
    <row r="67" spans="1:24" ht="12.75">
      <c r="A67" s="22">
        <v>220</v>
      </c>
      <c r="B67" s="26">
        <v>220</v>
      </c>
      <c r="C67" s="26">
        <v>220</v>
      </c>
      <c r="D67" s="26">
        <v>9.5</v>
      </c>
      <c r="E67" s="25">
        <v>16</v>
      </c>
      <c r="F67" s="26">
        <v>18</v>
      </c>
      <c r="G67" s="25">
        <v>152</v>
      </c>
      <c r="H67" s="26">
        <v>91</v>
      </c>
      <c r="I67" s="25">
        <v>71.5</v>
      </c>
      <c r="J67" s="26">
        <v>8090</v>
      </c>
      <c r="K67" s="25">
        <v>736</v>
      </c>
      <c r="L67" s="26">
        <v>9.43</v>
      </c>
      <c r="M67" s="26">
        <v>2840</v>
      </c>
      <c r="N67" s="25">
        <v>258</v>
      </c>
      <c r="O67" s="26">
        <v>5.59</v>
      </c>
      <c r="P67" s="25">
        <v>120</v>
      </c>
      <c r="Q67" s="26" t="s">
        <v>37</v>
      </c>
      <c r="R67" s="35">
        <v>50</v>
      </c>
      <c r="S67" s="25">
        <v>25</v>
      </c>
      <c r="T67" s="26">
        <v>414</v>
      </c>
      <c r="U67" s="25">
        <v>19.6</v>
      </c>
      <c r="V67" s="26">
        <v>10.3</v>
      </c>
      <c r="W67" s="25">
        <v>1.27</v>
      </c>
      <c r="X67" s="27" t="s">
        <v>227</v>
      </c>
    </row>
    <row r="68" spans="1:24" ht="12.75">
      <c r="A68" s="22">
        <v>240</v>
      </c>
      <c r="B68" s="26">
        <v>240</v>
      </c>
      <c r="C68" s="26">
        <v>240</v>
      </c>
      <c r="D68" s="26">
        <v>10</v>
      </c>
      <c r="E68" s="25">
        <v>17</v>
      </c>
      <c r="F68" s="26">
        <v>21</v>
      </c>
      <c r="G68" s="25">
        <v>164</v>
      </c>
      <c r="H68" s="26">
        <v>106</v>
      </c>
      <c r="I68" s="25">
        <v>83.2</v>
      </c>
      <c r="J68" s="26">
        <v>11260</v>
      </c>
      <c r="K68" s="25">
        <v>938</v>
      </c>
      <c r="L68" s="26">
        <v>10.3</v>
      </c>
      <c r="M68" s="26">
        <v>3920</v>
      </c>
      <c r="N68" s="25">
        <v>327</v>
      </c>
      <c r="O68" s="26">
        <v>6.08</v>
      </c>
      <c r="P68" s="25">
        <v>90</v>
      </c>
      <c r="Q68" s="26">
        <v>35</v>
      </c>
      <c r="R68" s="35">
        <v>40</v>
      </c>
      <c r="S68" s="25">
        <v>25</v>
      </c>
      <c r="T68" s="26">
        <v>527</v>
      </c>
      <c r="U68" s="25">
        <v>21.4</v>
      </c>
      <c r="V68" s="26">
        <v>11.3</v>
      </c>
      <c r="W68" s="25">
        <v>1.38</v>
      </c>
      <c r="X68" s="27" t="s">
        <v>226</v>
      </c>
    </row>
    <row r="69" spans="1:24" ht="12.75">
      <c r="A69" s="22">
        <v>260</v>
      </c>
      <c r="B69" s="26">
        <v>260</v>
      </c>
      <c r="C69" s="26">
        <v>260</v>
      </c>
      <c r="D69" s="26">
        <v>10</v>
      </c>
      <c r="E69" s="25">
        <v>17.5</v>
      </c>
      <c r="F69" s="26">
        <v>24</v>
      </c>
      <c r="G69" s="25">
        <v>177</v>
      </c>
      <c r="H69" s="26">
        <v>118</v>
      </c>
      <c r="I69" s="25">
        <v>93</v>
      </c>
      <c r="J69" s="26">
        <v>14920</v>
      </c>
      <c r="K69" s="25">
        <v>1150</v>
      </c>
      <c r="L69" s="26">
        <v>11.2</v>
      </c>
      <c r="M69" s="26">
        <v>5130</v>
      </c>
      <c r="N69" s="25">
        <v>395</v>
      </c>
      <c r="O69" s="26">
        <v>6.58</v>
      </c>
      <c r="P69" s="25">
        <v>100</v>
      </c>
      <c r="Q69" s="26">
        <v>40</v>
      </c>
      <c r="R69" s="35">
        <v>40</v>
      </c>
      <c r="S69" s="25">
        <v>25</v>
      </c>
      <c r="T69" s="26">
        <v>641</v>
      </c>
      <c r="U69" s="25">
        <v>23.3</v>
      </c>
      <c r="V69" s="26">
        <v>12.4</v>
      </c>
      <c r="W69" s="25">
        <v>1.5</v>
      </c>
      <c r="X69" s="27" t="s">
        <v>228</v>
      </c>
    </row>
    <row r="70" spans="1:24" ht="12.75">
      <c r="A70" s="22">
        <v>280</v>
      </c>
      <c r="B70" s="26">
        <v>280</v>
      </c>
      <c r="C70" s="26">
        <v>280</v>
      </c>
      <c r="D70" s="26">
        <v>10.5</v>
      </c>
      <c r="E70" s="25">
        <v>18</v>
      </c>
      <c r="F70" s="26">
        <v>24</v>
      </c>
      <c r="G70" s="25">
        <v>196</v>
      </c>
      <c r="H70" s="26">
        <v>131</v>
      </c>
      <c r="I70" s="25">
        <v>103</v>
      </c>
      <c r="J70" s="26">
        <v>19270</v>
      </c>
      <c r="K70" s="25">
        <v>1380</v>
      </c>
      <c r="L70" s="26">
        <v>12.1</v>
      </c>
      <c r="M70" s="26">
        <v>6590</v>
      </c>
      <c r="N70" s="25">
        <v>471</v>
      </c>
      <c r="O70" s="26">
        <v>7.09</v>
      </c>
      <c r="P70" s="25">
        <v>110</v>
      </c>
      <c r="Q70" s="26">
        <v>45</v>
      </c>
      <c r="R70" s="35">
        <v>40</v>
      </c>
      <c r="S70" s="25">
        <v>25</v>
      </c>
      <c r="T70" s="26">
        <v>767</v>
      </c>
      <c r="U70" s="25">
        <v>25.1</v>
      </c>
      <c r="V70" s="26">
        <v>13.4</v>
      </c>
      <c r="W70" s="25">
        <v>1.62</v>
      </c>
      <c r="X70" s="27" t="s">
        <v>229</v>
      </c>
    </row>
    <row r="71" spans="1:24" ht="12.75">
      <c r="A71" s="22">
        <v>300</v>
      </c>
      <c r="B71" s="26">
        <v>300</v>
      </c>
      <c r="C71" s="26">
        <v>300</v>
      </c>
      <c r="D71" s="26">
        <v>11</v>
      </c>
      <c r="E71" s="25">
        <v>19</v>
      </c>
      <c r="F71" s="26">
        <v>27</v>
      </c>
      <c r="G71" s="25">
        <v>208</v>
      </c>
      <c r="H71" s="26">
        <v>149</v>
      </c>
      <c r="I71" s="25">
        <v>117</v>
      </c>
      <c r="J71" s="26">
        <v>25170</v>
      </c>
      <c r="K71" s="25">
        <v>1680</v>
      </c>
      <c r="L71" s="26">
        <v>13</v>
      </c>
      <c r="M71" s="26">
        <v>8560</v>
      </c>
      <c r="N71" s="25">
        <v>571</v>
      </c>
      <c r="O71" s="26">
        <v>7.58</v>
      </c>
      <c r="P71" s="25">
        <v>120</v>
      </c>
      <c r="Q71" s="26">
        <v>50</v>
      </c>
      <c r="R71" s="35">
        <v>40</v>
      </c>
      <c r="S71" s="25">
        <v>25</v>
      </c>
      <c r="T71" s="26">
        <v>934</v>
      </c>
      <c r="U71" s="25">
        <v>26.9</v>
      </c>
      <c r="V71" s="26">
        <v>14.4</v>
      </c>
      <c r="W71" s="25">
        <v>1.73</v>
      </c>
      <c r="X71" s="27" t="s">
        <v>230</v>
      </c>
    </row>
    <row r="72" spans="1:24" ht="12.75">
      <c r="A72" s="22">
        <v>320</v>
      </c>
      <c r="B72" s="26">
        <v>320</v>
      </c>
      <c r="C72" s="26">
        <v>300</v>
      </c>
      <c r="D72" s="26">
        <v>11.5</v>
      </c>
      <c r="E72" s="25">
        <v>20.5</v>
      </c>
      <c r="F72" s="26">
        <v>27</v>
      </c>
      <c r="G72" s="25">
        <v>225</v>
      </c>
      <c r="H72" s="26">
        <v>161</v>
      </c>
      <c r="I72" s="25">
        <v>127</v>
      </c>
      <c r="J72" s="26">
        <v>30820</v>
      </c>
      <c r="K72" s="25">
        <v>1930</v>
      </c>
      <c r="L72" s="26">
        <v>13.8</v>
      </c>
      <c r="M72" s="26">
        <v>9240</v>
      </c>
      <c r="N72" s="25">
        <v>616</v>
      </c>
      <c r="O72" s="26">
        <v>7.57</v>
      </c>
      <c r="P72" s="25">
        <v>120</v>
      </c>
      <c r="Q72" s="26">
        <v>50</v>
      </c>
      <c r="R72" s="35">
        <v>40</v>
      </c>
      <c r="S72" s="25">
        <v>25</v>
      </c>
      <c r="T72" s="26">
        <v>1070</v>
      </c>
      <c r="U72" s="25">
        <v>28.7</v>
      </c>
      <c r="V72" s="26">
        <v>15.2</v>
      </c>
      <c r="W72" s="25">
        <v>1.77</v>
      </c>
      <c r="X72" s="27" t="s">
        <v>230</v>
      </c>
    </row>
    <row r="73" spans="1:24" ht="12.75">
      <c r="A73" s="22">
        <v>340</v>
      </c>
      <c r="B73" s="26">
        <v>340</v>
      </c>
      <c r="C73" s="26">
        <v>300</v>
      </c>
      <c r="D73" s="26">
        <v>12</v>
      </c>
      <c r="E73" s="25">
        <v>21.5</v>
      </c>
      <c r="F73" s="26">
        <v>27</v>
      </c>
      <c r="G73" s="25">
        <v>243</v>
      </c>
      <c r="H73" s="26">
        <v>171</v>
      </c>
      <c r="I73" s="25">
        <v>134</v>
      </c>
      <c r="J73" s="26">
        <v>36660</v>
      </c>
      <c r="K73" s="25">
        <v>2160</v>
      </c>
      <c r="L73" s="26">
        <v>14.6</v>
      </c>
      <c r="M73" s="26">
        <v>9690</v>
      </c>
      <c r="N73" s="25">
        <v>646</v>
      </c>
      <c r="O73" s="26">
        <v>7.53</v>
      </c>
      <c r="P73" s="25">
        <v>120</v>
      </c>
      <c r="Q73" s="26">
        <v>50</v>
      </c>
      <c r="R73" s="35">
        <v>40</v>
      </c>
      <c r="S73" s="25">
        <v>25</v>
      </c>
      <c r="T73" s="26">
        <v>1200</v>
      </c>
      <c r="U73" s="25">
        <v>30.4</v>
      </c>
      <c r="V73" s="26">
        <v>16.1</v>
      </c>
      <c r="W73" s="25">
        <v>1.81</v>
      </c>
      <c r="X73" s="27" t="s">
        <v>231</v>
      </c>
    </row>
    <row r="74" spans="1:24" ht="12.75">
      <c r="A74" s="22">
        <v>360</v>
      </c>
      <c r="B74" s="26">
        <v>360</v>
      </c>
      <c r="C74" s="26">
        <v>300</v>
      </c>
      <c r="D74" s="26">
        <v>12.5</v>
      </c>
      <c r="E74" s="25">
        <v>22.5</v>
      </c>
      <c r="F74" s="26">
        <v>27</v>
      </c>
      <c r="G74" s="25">
        <v>261</v>
      </c>
      <c r="H74" s="26">
        <v>181</v>
      </c>
      <c r="I74" s="25">
        <v>142</v>
      </c>
      <c r="J74" s="26">
        <v>43190</v>
      </c>
      <c r="K74" s="25">
        <v>2400</v>
      </c>
      <c r="L74" s="26">
        <v>15.5</v>
      </c>
      <c r="M74" s="26">
        <v>10140</v>
      </c>
      <c r="N74" s="25">
        <v>676</v>
      </c>
      <c r="O74" s="26">
        <v>7.49</v>
      </c>
      <c r="P74" s="25">
        <v>120</v>
      </c>
      <c r="Q74" s="26">
        <v>50</v>
      </c>
      <c r="R74" s="35">
        <v>40</v>
      </c>
      <c r="S74" s="25">
        <v>25</v>
      </c>
      <c r="T74" s="26">
        <v>1340</v>
      </c>
      <c r="U74" s="25">
        <v>32.2</v>
      </c>
      <c r="V74" s="26">
        <v>16.9</v>
      </c>
      <c r="W74" s="25">
        <v>1.85</v>
      </c>
      <c r="X74" s="27" t="s">
        <v>232</v>
      </c>
    </row>
    <row r="75" spans="1:24" ht="12.75">
      <c r="A75" s="22">
        <v>400</v>
      </c>
      <c r="B75" s="26">
        <v>400</v>
      </c>
      <c r="C75" s="26">
        <v>300</v>
      </c>
      <c r="D75" s="26">
        <v>13.5</v>
      </c>
      <c r="E75" s="25">
        <v>24</v>
      </c>
      <c r="F75" s="26">
        <v>27</v>
      </c>
      <c r="G75" s="25">
        <v>298</v>
      </c>
      <c r="H75" s="26">
        <v>198</v>
      </c>
      <c r="I75" s="25">
        <v>155</v>
      </c>
      <c r="J75" s="26">
        <v>57680</v>
      </c>
      <c r="K75" s="25">
        <v>2880</v>
      </c>
      <c r="L75" s="26">
        <v>17.1</v>
      </c>
      <c r="M75" s="26">
        <v>10820</v>
      </c>
      <c r="N75" s="25">
        <v>721</v>
      </c>
      <c r="O75" s="26">
        <v>7.4</v>
      </c>
      <c r="P75" s="25">
        <v>120</v>
      </c>
      <c r="Q75" s="26">
        <v>50</v>
      </c>
      <c r="R75" s="35">
        <v>40</v>
      </c>
      <c r="S75" s="25">
        <v>25</v>
      </c>
      <c r="T75" s="26">
        <v>1620</v>
      </c>
      <c r="U75" s="25">
        <v>35.7</v>
      </c>
      <c r="V75" s="26">
        <v>18.6</v>
      </c>
      <c r="W75" s="25">
        <v>1.93</v>
      </c>
      <c r="X75" s="27" t="s">
        <v>233</v>
      </c>
    </row>
    <row r="76" spans="1:24" ht="12.75">
      <c r="A76" s="22">
        <v>450</v>
      </c>
      <c r="B76" s="26">
        <v>450</v>
      </c>
      <c r="C76" s="26">
        <v>300</v>
      </c>
      <c r="D76" s="26">
        <v>14</v>
      </c>
      <c r="E76" s="25">
        <v>26</v>
      </c>
      <c r="F76" s="26">
        <v>27</v>
      </c>
      <c r="G76" s="25">
        <v>344</v>
      </c>
      <c r="H76" s="26">
        <v>218</v>
      </c>
      <c r="I76" s="25">
        <v>171</v>
      </c>
      <c r="J76" s="26">
        <v>79890</v>
      </c>
      <c r="K76" s="25">
        <v>3550</v>
      </c>
      <c r="L76" s="26">
        <v>19.1</v>
      </c>
      <c r="M76" s="26">
        <v>11720</v>
      </c>
      <c r="N76" s="25">
        <v>781</v>
      </c>
      <c r="O76" s="26">
        <v>7.33</v>
      </c>
      <c r="P76" s="25">
        <v>120</v>
      </c>
      <c r="Q76" s="26">
        <v>50</v>
      </c>
      <c r="R76" s="35">
        <v>40</v>
      </c>
      <c r="S76" s="25">
        <v>25</v>
      </c>
      <c r="T76" s="26">
        <v>1990</v>
      </c>
      <c r="U76" s="25">
        <v>40.1</v>
      </c>
      <c r="V76" s="26">
        <v>20.8</v>
      </c>
      <c r="W76" s="25">
        <v>2.03</v>
      </c>
      <c r="X76" s="27" t="s">
        <v>234</v>
      </c>
    </row>
    <row r="77" spans="1:24" ht="12.75">
      <c r="A77" s="22">
        <v>500</v>
      </c>
      <c r="B77" s="26">
        <v>500</v>
      </c>
      <c r="C77" s="26">
        <v>300</v>
      </c>
      <c r="D77" s="26">
        <v>14.5</v>
      </c>
      <c r="E77" s="25">
        <v>28</v>
      </c>
      <c r="F77" s="26">
        <v>27</v>
      </c>
      <c r="G77" s="25">
        <v>390</v>
      </c>
      <c r="H77" s="26">
        <v>239</v>
      </c>
      <c r="I77" s="25">
        <v>187</v>
      </c>
      <c r="J77" s="26">
        <v>107200</v>
      </c>
      <c r="K77" s="25">
        <v>4290</v>
      </c>
      <c r="L77" s="26">
        <v>21.2</v>
      </c>
      <c r="M77" s="26">
        <v>12620</v>
      </c>
      <c r="N77" s="25">
        <v>842</v>
      </c>
      <c r="O77" s="26">
        <v>7.27</v>
      </c>
      <c r="P77" s="25">
        <v>120</v>
      </c>
      <c r="Q77" s="26">
        <v>45</v>
      </c>
      <c r="R77" s="35">
        <v>45</v>
      </c>
      <c r="S77" s="25">
        <v>28</v>
      </c>
      <c r="T77" s="26">
        <v>2410</v>
      </c>
      <c r="U77" s="25">
        <v>44.5</v>
      </c>
      <c r="V77" s="26">
        <v>22.9</v>
      </c>
      <c r="W77" s="25">
        <v>2.12</v>
      </c>
      <c r="X77" s="27" t="s">
        <v>235</v>
      </c>
    </row>
    <row r="78" spans="1:24" ht="12.75">
      <c r="A78" s="22">
        <v>550</v>
      </c>
      <c r="B78" s="26">
        <v>550</v>
      </c>
      <c r="C78" s="26">
        <v>300</v>
      </c>
      <c r="D78" s="26">
        <v>15</v>
      </c>
      <c r="E78" s="25">
        <v>29</v>
      </c>
      <c r="F78" s="26">
        <v>27</v>
      </c>
      <c r="G78" s="25">
        <v>438</v>
      </c>
      <c r="H78" s="26">
        <v>254</v>
      </c>
      <c r="I78" s="25">
        <v>199</v>
      </c>
      <c r="J78" s="26">
        <v>136700</v>
      </c>
      <c r="K78" s="25">
        <v>4970</v>
      </c>
      <c r="L78" s="26">
        <v>23.2</v>
      </c>
      <c r="M78" s="26">
        <v>13080</v>
      </c>
      <c r="N78" s="25">
        <v>872</v>
      </c>
      <c r="O78" s="26">
        <v>7.17</v>
      </c>
      <c r="P78" s="25">
        <v>120</v>
      </c>
      <c r="Q78" s="26">
        <v>45</v>
      </c>
      <c r="R78" s="35">
        <v>45</v>
      </c>
      <c r="S78" s="25">
        <v>28</v>
      </c>
      <c r="T78" s="26">
        <v>2800</v>
      </c>
      <c r="U78" s="25">
        <v>48.9</v>
      </c>
      <c r="V78" s="26">
        <v>25</v>
      </c>
      <c r="W78" s="25">
        <v>2.22</v>
      </c>
      <c r="X78" s="27" t="s">
        <v>236</v>
      </c>
    </row>
    <row r="79" spans="1:24" ht="12.75">
      <c r="A79" s="37">
        <v>600</v>
      </c>
      <c r="B79" s="38">
        <v>600</v>
      </c>
      <c r="C79" s="38">
        <v>300</v>
      </c>
      <c r="D79" s="38">
        <v>15.5</v>
      </c>
      <c r="E79" s="39">
        <v>30</v>
      </c>
      <c r="F79" s="38">
        <v>27</v>
      </c>
      <c r="G79" s="39">
        <v>486</v>
      </c>
      <c r="H79" s="38">
        <v>270</v>
      </c>
      <c r="I79" s="39">
        <v>212</v>
      </c>
      <c r="J79" s="38">
        <v>171000</v>
      </c>
      <c r="K79" s="39">
        <v>5700</v>
      </c>
      <c r="L79" s="38">
        <v>25.2</v>
      </c>
      <c r="M79" s="38">
        <v>13530</v>
      </c>
      <c r="N79" s="39">
        <v>902</v>
      </c>
      <c r="O79" s="38">
        <v>7.08</v>
      </c>
      <c r="P79" s="39">
        <v>120</v>
      </c>
      <c r="Q79" s="38">
        <v>45</v>
      </c>
      <c r="R79" s="40">
        <v>45</v>
      </c>
      <c r="S79" s="39">
        <v>28</v>
      </c>
      <c r="T79" s="38">
        <v>3210</v>
      </c>
      <c r="U79" s="39">
        <v>53.2</v>
      </c>
      <c r="V79" s="38">
        <v>26.9</v>
      </c>
      <c r="W79" s="39">
        <v>2.32</v>
      </c>
      <c r="X79" s="41" t="s">
        <v>237</v>
      </c>
    </row>
    <row r="80" spans="1:24" ht="12.75">
      <c r="A80" s="22">
        <v>500</v>
      </c>
      <c r="B80" s="26">
        <v>500</v>
      </c>
      <c r="C80" s="26">
        <v>300</v>
      </c>
      <c r="D80" s="26">
        <v>15</v>
      </c>
      <c r="E80" s="25">
        <v>30</v>
      </c>
      <c r="F80" s="26"/>
      <c r="G80" s="25"/>
      <c r="H80" s="26">
        <v>245</v>
      </c>
      <c r="I80" s="25">
        <v>193</v>
      </c>
      <c r="J80" s="26">
        <v>110052</v>
      </c>
      <c r="K80" s="25">
        <v>4402</v>
      </c>
      <c r="L80" s="26">
        <v>21.2</v>
      </c>
      <c r="M80" s="26">
        <v>13499</v>
      </c>
      <c r="N80" s="25">
        <v>899</v>
      </c>
      <c r="O80" s="26">
        <v>7.4</v>
      </c>
      <c r="P80" s="25"/>
      <c r="Q80" s="26"/>
      <c r="R80" s="35"/>
      <c r="S80" s="25"/>
      <c r="T80" s="26"/>
      <c r="U80" s="25"/>
      <c r="V80" s="26"/>
      <c r="W80" s="25">
        <v>2.17</v>
      </c>
      <c r="X80" s="27" t="s">
        <v>235</v>
      </c>
    </row>
    <row r="81" spans="1:24" ht="12.75">
      <c r="A81" s="22">
        <v>550</v>
      </c>
      <c r="B81" s="26">
        <v>550</v>
      </c>
      <c r="C81" s="26">
        <v>300</v>
      </c>
      <c r="D81" s="26">
        <v>15</v>
      </c>
      <c r="E81" s="25">
        <v>30</v>
      </c>
      <c r="F81" s="26"/>
      <c r="G81" s="25"/>
      <c r="H81" s="26">
        <v>253</v>
      </c>
      <c r="I81" s="25">
        <v>198</v>
      </c>
      <c r="J81" s="26">
        <v>136386</v>
      </c>
      <c r="K81" s="25">
        <v>4959</v>
      </c>
      <c r="L81" s="26">
        <v>23.2</v>
      </c>
      <c r="M81" s="26">
        <v>13499</v>
      </c>
      <c r="N81" s="25">
        <v>899</v>
      </c>
      <c r="O81" s="26">
        <v>7.3</v>
      </c>
      <c r="P81" s="25"/>
      <c r="Q81" s="26"/>
      <c r="R81" s="35"/>
      <c r="S81" s="25"/>
      <c r="T81" s="26"/>
      <c r="U81" s="25"/>
      <c r="V81" s="26"/>
      <c r="W81" s="25">
        <v>2.27</v>
      </c>
      <c r="X81" s="27" t="s">
        <v>236</v>
      </c>
    </row>
    <row r="82" spans="1:24" ht="12.75">
      <c r="A82" s="22">
        <v>600</v>
      </c>
      <c r="B82" s="26">
        <v>600</v>
      </c>
      <c r="C82" s="26">
        <v>300</v>
      </c>
      <c r="D82" s="26">
        <v>15</v>
      </c>
      <c r="E82" s="25">
        <v>30</v>
      </c>
      <c r="F82" s="26"/>
      <c r="G82" s="25"/>
      <c r="H82" s="26">
        <v>260</v>
      </c>
      <c r="I82" s="25">
        <v>204</v>
      </c>
      <c r="J82" s="26">
        <v>165887</v>
      </c>
      <c r="K82" s="25">
        <v>5529</v>
      </c>
      <c r="L82" s="26">
        <v>25.2</v>
      </c>
      <c r="M82" s="26">
        <v>13499</v>
      </c>
      <c r="N82" s="25">
        <v>899</v>
      </c>
      <c r="O82" s="26">
        <v>7.2</v>
      </c>
      <c r="P82" s="25"/>
      <c r="Q82" s="26"/>
      <c r="R82" s="35"/>
      <c r="S82" s="25"/>
      <c r="T82" s="26"/>
      <c r="U82" s="25"/>
      <c r="V82" s="26"/>
      <c r="W82" s="25">
        <v>2.37</v>
      </c>
      <c r="X82" s="27" t="s">
        <v>237</v>
      </c>
    </row>
    <row r="83" spans="1:24" ht="12.75">
      <c r="A83" s="22">
        <v>650</v>
      </c>
      <c r="B83" s="26">
        <v>650</v>
      </c>
      <c r="C83" s="26">
        <v>300</v>
      </c>
      <c r="D83" s="26">
        <v>15</v>
      </c>
      <c r="E83" s="25">
        <v>30</v>
      </c>
      <c r="F83" s="26"/>
      <c r="G83" s="25"/>
      <c r="H83" s="26">
        <v>268</v>
      </c>
      <c r="I83" s="25">
        <v>210</v>
      </c>
      <c r="J83" s="26">
        <v>198652</v>
      </c>
      <c r="K83" s="25">
        <v>6112</v>
      </c>
      <c r="L83" s="26">
        <v>27.2</v>
      </c>
      <c r="M83" s="26">
        <v>13499</v>
      </c>
      <c r="N83" s="25">
        <v>899</v>
      </c>
      <c r="O83" s="26">
        <v>7.1</v>
      </c>
      <c r="P83" s="25"/>
      <c r="Q83" s="26"/>
      <c r="R83" s="35"/>
      <c r="S83" s="25"/>
      <c r="T83" s="26"/>
      <c r="U83" s="25"/>
      <c r="V83" s="26"/>
      <c r="W83" s="25">
        <v>2.47</v>
      </c>
      <c r="X83" s="27" t="s">
        <v>238</v>
      </c>
    </row>
    <row r="84" spans="1:24" ht="12.75">
      <c r="A84" s="22">
        <v>700</v>
      </c>
      <c r="B84" s="26">
        <v>700</v>
      </c>
      <c r="C84" s="26">
        <v>300</v>
      </c>
      <c r="D84" s="26">
        <v>20</v>
      </c>
      <c r="E84" s="25">
        <v>35</v>
      </c>
      <c r="F84" s="26"/>
      <c r="G84" s="25"/>
      <c r="H84" s="26">
        <v>335</v>
      </c>
      <c r="I84" s="25">
        <v>263</v>
      </c>
      <c r="J84" s="26">
        <v>273842</v>
      </c>
      <c r="K84" s="25">
        <v>7824</v>
      </c>
      <c r="L84" s="26">
        <v>28.5</v>
      </c>
      <c r="M84" s="26">
        <v>15749</v>
      </c>
      <c r="N84" s="25">
        <v>1049</v>
      </c>
      <c r="O84" s="26">
        <v>6.8</v>
      </c>
      <c r="P84" s="25"/>
      <c r="Q84" s="26"/>
      <c r="R84" s="35"/>
      <c r="S84" s="25"/>
      <c r="T84" s="26"/>
      <c r="U84" s="25"/>
      <c r="V84" s="26"/>
      <c r="W84" s="25">
        <v>2.56</v>
      </c>
      <c r="X84" s="27" t="s">
        <v>239</v>
      </c>
    </row>
    <row r="85" spans="1:24" ht="12.75">
      <c r="A85" s="22">
        <v>800</v>
      </c>
      <c r="B85" s="26">
        <v>800</v>
      </c>
      <c r="C85" s="26">
        <v>300</v>
      </c>
      <c r="D85" s="26">
        <v>20</v>
      </c>
      <c r="E85" s="25">
        <v>35</v>
      </c>
      <c r="F85" s="26"/>
      <c r="G85" s="25"/>
      <c r="H85" s="26">
        <v>355</v>
      </c>
      <c r="I85" s="25">
        <v>279</v>
      </c>
      <c r="J85" s="26">
        <v>372079</v>
      </c>
      <c r="K85" s="25">
        <v>9301</v>
      </c>
      <c r="L85" s="26">
        <v>32.3</v>
      </c>
      <c r="M85" s="26">
        <v>15749</v>
      </c>
      <c r="N85" s="25">
        <v>1049</v>
      </c>
      <c r="O85" s="26">
        <v>6.7</v>
      </c>
      <c r="P85" s="25"/>
      <c r="Q85" s="26"/>
      <c r="R85" s="35"/>
      <c r="S85" s="25"/>
      <c r="T85" s="26"/>
      <c r="U85" s="25"/>
      <c r="V85" s="26"/>
      <c r="W85" s="25">
        <v>2.76</v>
      </c>
      <c r="X85" s="27" t="s">
        <v>240</v>
      </c>
    </row>
    <row r="86" spans="1:24" ht="12.75">
      <c r="A86" s="22">
        <v>900</v>
      </c>
      <c r="B86" s="26">
        <v>900</v>
      </c>
      <c r="C86" s="26">
        <v>300</v>
      </c>
      <c r="D86" s="26">
        <v>20</v>
      </c>
      <c r="E86" s="25">
        <v>35</v>
      </c>
      <c r="F86" s="26"/>
      <c r="G86" s="25"/>
      <c r="H86" s="26">
        <v>375</v>
      </c>
      <c r="I86" s="25">
        <v>295</v>
      </c>
      <c r="J86" s="26">
        <v>488115</v>
      </c>
      <c r="K86" s="25">
        <v>10847</v>
      </c>
      <c r="L86" s="26">
        <v>36</v>
      </c>
      <c r="M86" s="26">
        <v>15749</v>
      </c>
      <c r="N86" s="25">
        <v>1049</v>
      </c>
      <c r="O86" s="26">
        <v>6.5</v>
      </c>
      <c r="P86" s="25"/>
      <c r="Q86" s="26"/>
      <c r="R86" s="35"/>
      <c r="S86" s="25"/>
      <c r="T86" s="26"/>
      <c r="U86" s="25"/>
      <c r="V86" s="26"/>
      <c r="W86" s="25">
        <v>2.96</v>
      </c>
      <c r="X86" s="27" t="s">
        <v>241</v>
      </c>
    </row>
    <row r="87" spans="1:24" ht="13.5" thickBot="1">
      <c r="A87" s="42">
        <v>1000</v>
      </c>
      <c r="B87" s="36">
        <v>1000</v>
      </c>
      <c r="C87" s="36">
        <v>300</v>
      </c>
      <c r="D87" s="36">
        <v>20</v>
      </c>
      <c r="E87" s="36">
        <v>35</v>
      </c>
      <c r="F87" s="36"/>
      <c r="G87" s="36"/>
      <c r="H87" s="36">
        <v>395</v>
      </c>
      <c r="I87" s="36">
        <v>310</v>
      </c>
      <c r="J87" s="36">
        <v>622952</v>
      </c>
      <c r="K87" s="36">
        <v>12459</v>
      </c>
      <c r="L87" s="36">
        <v>39.7</v>
      </c>
      <c r="M87" s="36">
        <v>15749</v>
      </c>
      <c r="N87" s="36">
        <v>1049</v>
      </c>
      <c r="O87" s="36">
        <v>6.3</v>
      </c>
      <c r="P87" s="36"/>
      <c r="Q87" s="36"/>
      <c r="R87" s="36"/>
      <c r="S87" s="36"/>
      <c r="T87" s="36"/>
      <c r="U87" s="36"/>
      <c r="V87" s="36"/>
      <c r="W87" s="36">
        <v>3.16</v>
      </c>
      <c r="X87" s="43" t="s">
        <v>242</v>
      </c>
    </row>
    <row r="90" ht="13.5" thickBot="1"/>
    <row r="91" spans="1:24" ht="19.5">
      <c r="A91" s="1" t="s">
        <v>40</v>
      </c>
      <c r="B91" s="2"/>
      <c r="C91" s="3" t="s">
        <v>1</v>
      </c>
      <c r="D91" s="3"/>
      <c r="E91" s="4"/>
      <c r="F91" s="4"/>
      <c r="G91" s="5"/>
      <c r="H91" s="6" t="s">
        <v>2</v>
      </c>
      <c r="I91" s="7" t="s">
        <v>3</v>
      </c>
      <c r="J91" s="8"/>
      <c r="K91" s="7" t="s">
        <v>4</v>
      </c>
      <c r="L91" s="9"/>
      <c r="M91" s="8"/>
      <c r="N91" s="10" t="s">
        <v>5</v>
      </c>
      <c r="O91" s="11"/>
      <c r="P91" s="7" t="s">
        <v>6</v>
      </c>
      <c r="Q91" s="6" t="s">
        <v>7</v>
      </c>
      <c r="R91" s="9" t="s">
        <v>39</v>
      </c>
      <c r="S91" s="7" t="s">
        <v>8</v>
      </c>
      <c r="T91" s="6" t="s">
        <v>9</v>
      </c>
      <c r="U91" s="7" t="s">
        <v>10</v>
      </c>
      <c r="V91" s="12" t="s">
        <v>11</v>
      </c>
      <c r="W91" s="7" t="s">
        <v>12</v>
      </c>
      <c r="X91" s="13" t="s">
        <v>40</v>
      </c>
    </row>
    <row r="92" spans="1:24" ht="12.75">
      <c r="A92" s="14"/>
      <c r="B92" s="15" t="s">
        <v>13</v>
      </c>
      <c r="C92" s="16" t="s">
        <v>14</v>
      </c>
      <c r="D92" s="16" t="s">
        <v>15</v>
      </c>
      <c r="E92" s="16" t="s">
        <v>16</v>
      </c>
      <c r="F92" s="16" t="s">
        <v>17</v>
      </c>
      <c r="G92" s="16" t="s">
        <v>18</v>
      </c>
      <c r="H92" s="17" t="s">
        <v>19</v>
      </c>
      <c r="I92" s="18" t="s">
        <v>20</v>
      </c>
      <c r="J92" s="17" t="s">
        <v>21</v>
      </c>
      <c r="K92" s="19" t="s">
        <v>22</v>
      </c>
      <c r="L92" s="19" t="s">
        <v>23</v>
      </c>
      <c r="M92" s="17" t="s">
        <v>24</v>
      </c>
      <c r="N92" s="20" t="s">
        <v>25</v>
      </c>
      <c r="O92" s="20" t="s">
        <v>26</v>
      </c>
      <c r="P92" s="18" t="s">
        <v>27</v>
      </c>
      <c r="Q92" s="17" t="s">
        <v>27</v>
      </c>
      <c r="R92" s="20"/>
      <c r="S92" s="18" t="s">
        <v>27</v>
      </c>
      <c r="T92" s="17" t="s">
        <v>28</v>
      </c>
      <c r="U92" s="18" t="s">
        <v>29</v>
      </c>
      <c r="V92" s="17" t="s">
        <v>30</v>
      </c>
      <c r="W92" s="18" t="s">
        <v>31</v>
      </c>
      <c r="X92" s="21"/>
    </row>
    <row r="93" spans="1:24" ht="12.75">
      <c r="A93" s="22">
        <v>100</v>
      </c>
      <c r="B93" s="23">
        <v>96</v>
      </c>
      <c r="C93" s="23">
        <v>100</v>
      </c>
      <c r="D93" s="24">
        <v>5</v>
      </c>
      <c r="E93" s="25">
        <v>8</v>
      </c>
      <c r="F93" s="23">
        <v>12</v>
      </c>
      <c r="G93" s="25">
        <v>56</v>
      </c>
      <c r="H93" s="23">
        <v>21.2</v>
      </c>
      <c r="I93" s="25">
        <v>16.7</v>
      </c>
      <c r="J93" s="23">
        <v>349</v>
      </c>
      <c r="K93" s="25">
        <v>72.8</v>
      </c>
      <c r="L93" s="23">
        <v>4.06</v>
      </c>
      <c r="M93" s="26">
        <v>134</v>
      </c>
      <c r="N93" s="25">
        <v>26.8</v>
      </c>
      <c r="O93" s="26">
        <v>2.51</v>
      </c>
      <c r="P93" s="25">
        <v>55</v>
      </c>
      <c r="Q93" s="26" t="s">
        <v>37</v>
      </c>
      <c r="R93" s="35">
        <v>22.5</v>
      </c>
      <c r="S93" s="25">
        <v>13</v>
      </c>
      <c r="T93" s="26">
        <v>41.5</v>
      </c>
      <c r="U93" s="25">
        <v>8.41</v>
      </c>
      <c r="V93" s="26">
        <v>4.36</v>
      </c>
      <c r="W93" s="25">
        <v>0.561</v>
      </c>
      <c r="X93" s="27" t="s">
        <v>243</v>
      </c>
    </row>
    <row r="94" spans="1:24" ht="12.75">
      <c r="A94" s="22">
        <v>120</v>
      </c>
      <c r="B94" s="26">
        <v>114</v>
      </c>
      <c r="C94" s="26">
        <v>120</v>
      </c>
      <c r="D94" s="26">
        <v>5</v>
      </c>
      <c r="E94" s="25">
        <v>8</v>
      </c>
      <c r="F94" s="26">
        <v>12</v>
      </c>
      <c r="G94" s="25">
        <v>74</v>
      </c>
      <c r="H94" s="26">
        <v>25.3</v>
      </c>
      <c r="I94" s="25">
        <v>19.9</v>
      </c>
      <c r="J94" s="26">
        <v>606</v>
      </c>
      <c r="K94" s="25">
        <v>106</v>
      </c>
      <c r="L94" s="26">
        <v>4.89</v>
      </c>
      <c r="M94" s="26">
        <v>231</v>
      </c>
      <c r="N94" s="25">
        <v>38.5</v>
      </c>
      <c r="O94" s="26">
        <v>3.02</v>
      </c>
      <c r="P94" s="25">
        <v>65</v>
      </c>
      <c r="Q94" s="26" t="s">
        <v>37</v>
      </c>
      <c r="R94" s="35">
        <v>27.5</v>
      </c>
      <c r="S94" s="25">
        <v>17</v>
      </c>
      <c r="T94" s="26">
        <v>59.7</v>
      </c>
      <c r="U94" s="25">
        <v>10.1</v>
      </c>
      <c r="V94" s="26">
        <v>5.33</v>
      </c>
      <c r="W94" s="25">
        <v>0.677</v>
      </c>
      <c r="X94" s="27" t="s">
        <v>244</v>
      </c>
    </row>
    <row r="95" spans="1:24" ht="12.75">
      <c r="A95" s="22">
        <v>140</v>
      </c>
      <c r="B95" s="26">
        <v>133</v>
      </c>
      <c r="C95" s="26">
        <v>140</v>
      </c>
      <c r="D95" s="26">
        <v>5.5</v>
      </c>
      <c r="E95" s="25">
        <v>8.5</v>
      </c>
      <c r="F95" s="26">
        <v>12</v>
      </c>
      <c r="G95" s="25">
        <v>92</v>
      </c>
      <c r="H95" s="26">
        <v>31.4</v>
      </c>
      <c r="I95" s="25">
        <v>24.7</v>
      </c>
      <c r="J95" s="26">
        <v>1030</v>
      </c>
      <c r="K95" s="25">
        <v>155</v>
      </c>
      <c r="L95" s="26">
        <v>5.73</v>
      </c>
      <c r="M95" s="26">
        <v>389</v>
      </c>
      <c r="N95" s="25">
        <v>55.6</v>
      </c>
      <c r="O95" s="26">
        <v>3.52</v>
      </c>
      <c r="P95" s="25">
        <v>75</v>
      </c>
      <c r="Q95" s="26" t="s">
        <v>37</v>
      </c>
      <c r="R95" s="35">
        <v>32.5</v>
      </c>
      <c r="S95" s="25">
        <v>21</v>
      </c>
      <c r="T95" s="26">
        <v>86.7</v>
      </c>
      <c r="U95" s="25">
        <v>11.9</v>
      </c>
      <c r="V95" s="26">
        <v>6.28</v>
      </c>
      <c r="W95" s="25">
        <v>0.794</v>
      </c>
      <c r="X95" s="27" t="s">
        <v>245</v>
      </c>
    </row>
    <row r="96" spans="1:24" ht="12.75">
      <c r="A96" s="22">
        <v>160</v>
      </c>
      <c r="B96" s="26">
        <v>152</v>
      </c>
      <c r="C96" s="26">
        <v>160</v>
      </c>
      <c r="D96" s="26">
        <v>6</v>
      </c>
      <c r="E96" s="25">
        <v>9</v>
      </c>
      <c r="F96" s="26">
        <v>15</v>
      </c>
      <c r="G96" s="25">
        <v>104</v>
      </c>
      <c r="H96" s="26">
        <v>38.8</v>
      </c>
      <c r="I96" s="25">
        <v>30.4</v>
      </c>
      <c r="J96" s="26">
        <v>1670</v>
      </c>
      <c r="K96" s="25">
        <v>220</v>
      </c>
      <c r="L96" s="26">
        <v>6.57</v>
      </c>
      <c r="M96" s="26">
        <v>616</v>
      </c>
      <c r="N96" s="25">
        <v>76.9</v>
      </c>
      <c r="O96" s="26">
        <v>3.98</v>
      </c>
      <c r="P96" s="25">
        <v>85</v>
      </c>
      <c r="Q96" s="26" t="s">
        <v>37</v>
      </c>
      <c r="R96" s="35">
        <v>37.5</v>
      </c>
      <c r="S96" s="25">
        <v>23</v>
      </c>
      <c r="T96" s="26">
        <v>123</v>
      </c>
      <c r="U96" s="25">
        <v>13.6</v>
      </c>
      <c r="V96" s="26">
        <v>7.24</v>
      </c>
      <c r="W96" s="25">
        <v>0.906</v>
      </c>
      <c r="X96" s="27" t="s">
        <v>246</v>
      </c>
    </row>
    <row r="97" spans="1:24" ht="12.75">
      <c r="A97" s="22">
        <v>180</v>
      </c>
      <c r="B97" s="26">
        <v>171</v>
      </c>
      <c r="C97" s="26">
        <v>180</v>
      </c>
      <c r="D97" s="26">
        <v>6</v>
      </c>
      <c r="E97" s="25">
        <v>9.5</v>
      </c>
      <c r="F97" s="26">
        <v>15</v>
      </c>
      <c r="G97" s="25">
        <v>122</v>
      </c>
      <c r="H97" s="26">
        <v>45.3</v>
      </c>
      <c r="I97" s="25">
        <v>35.5</v>
      </c>
      <c r="J97" s="26">
        <v>2510</v>
      </c>
      <c r="K97" s="25">
        <v>294</v>
      </c>
      <c r="L97" s="26">
        <v>7.45</v>
      </c>
      <c r="M97" s="26">
        <v>925</v>
      </c>
      <c r="N97" s="25">
        <v>103</v>
      </c>
      <c r="O97" s="26">
        <v>4.52</v>
      </c>
      <c r="P97" s="25">
        <v>100</v>
      </c>
      <c r="Q97" s="26" t="s">
        <v>37</v>
      </c>
      <c r="R97" s="35">
        <v>40</v>
      </c>
      <c r="S97" s="25">
        <v>25</v>
      </c>
      <c r="T97" s="26">
        <v>162</v>
      </c>
      <c r="U97" s="25">
        <v>15.5</v>
      </c>
      <c r="V97" s="26">
        <v>8.28</v>
      </c>
      <c r="W97" s="25">
        <v>1.02</v>
      </c>
      <c r="X97" s="27" t="s">
        <v>247</v>
      </c>
    </row>
    <row r="98" spans="1:24" ht="12.75">
      <c r="A98" s="22">
        <v>200</v>
      </c>
      <c r="B98" s="26">
        <v>190</v>
      </c>
      <c r="C98" s="26">
        <v>200</v>
      </c>
      <c r="D98" s="26">
        <v>6.5</v>
      </c>
      <c r="E98" s="25">
        <v>10</v>
      </c>
      <c r="F98" s="26">
        <v>18</v>
      </c>
      <c r="G98" s="25">
        <v>134</v>
      </c>
      <c r="H98" s="26">
        <v>53.8</v>
      </c>
      <c r="I98" s="25">
        <v>42.3</v>
      </c>
      <c r="J98" s="26">
        <v>3690</v>
      </c>
      <c r="K98" s="25">
        <v>389</v>
      </c>
      <c r="L98" s="26">
        <v>8.28</v>
      </c>
      <c r="M98" s="26">
        <v>1340</v>
      </c>
      <c r="N98" s="25">
        <v>134</v>
      </c>
      <c r="O98" s="26">
        <v>4.98</v>
      </c>
      <c r="P98" s="25">
        <v>110</v>
      </c>
      <c r="Q98" s="26" t="s">
        <v>37</v>
      </c>
      <c r="R98" s="35">
        <v>45</v>
      </c>
      <c r="S98" s="25">
        <v>25</v>
      </c>
      <c r="T98" s="26">
        <v>215</v>
      </c>
      <c r="U98" s="25">
        <v>17.2</v>
      </c>
      <c r="V98" s="26">
        <v>9.2</v>
      </c>
      <c r="W98" s="25">
        <v>1.14</v>
      </c>
      <c r="X98" s="27" t="s">
        <v>248</v>
      </c>
    </row>
    <row r="99" spans="1:24" ht="12.75">
      <c r="A99" s="22">
        <v>220</v>
      </c>
      <c r="B99" s="26">
        <v>210</v>
      </c>
      <c r="C99" s="26">
        <v>220</v>
      </c>
      <c r="D99" s="26">
        <v>7</v>
      </c>
      <c r="E99" s="25">
        <v>11</v>
      </c>
      <c r="F99" s="26">
        <v>18</v>
      </c>
      <c r="G99" s="25">
        <v>152</v>
      </c>
      <c r="H99" s="26">
        <v>64.3</v>
      </c>
      <c r="I99" s="25">
        <v>50.5</v>
      </c>
      <c r="J99" s="26">
        <v>5410</v>
      </c>
      <c r="K99" s="25">
        <v>515</v>
      </c>
      <c r="L99" s="26">
        <v>9.17</v>
      </c>
      <c r="M99" s="26">
        <v>1950</v>
      </c>
      <c r="N99" s="25">
        <v>178</v>
      </c>
      <c r="O99" s="26">
        <v>5.51</v>
      </c>
      <c r="P99" s="25">
        <v>120</v>
      </c>
      <c r="Q99" s="26" t="s">
        <v>37</v>
      </c>
      <c r="R99" s="35">
        <v>50</v>
      </c>
      <c r="S99" s="25">
        <v>25</v>
      </c>
      <c r="T99" s="26">
        <v>284</v>
      </c>
      <c r="U99" s="25">
        <v>19</v>
      </c>
      <c r="V99" s="26">
        <v>10.2</v>
      </c>
      <c r="W99" s="25">
        <v>1.26</v>
      </c>
      <c r="X99" s="27" t="s">
        <v>249</v>
      </c>
    </row>
    <row r="100" spans="1:24" ht="12.75">
      <c r="A100" s="22">
        <v>240</v>
      </c>
      <c r="B100" s="26">
        <v>230</v>
      </c>
      <c r="C100" s="26">
        <v>240</v>
      </c>
      <c r="D100" s="26">
        <v>7.5</v>
      </c>
      <c r="E100" s="25">
        <v>12</v>
      </c>
      <c r="F100" s="26">
        <v>21</v>
      </c>
      <c r="G100" s="25">
        <v>164</v>
      </c>
      <c r="H100" s="26">
        <v>76.8</v>
      </c>
      <c r="I100" s="25">
        <v>60.3</v>
      </c>
      <c r="J100" s="26">
        <v>7760</v>
      </c>
      <c r="K100" s="25">
        <v>675</v>
      </c>
      <c r="L100" s="26">
        <v>10.11</v>
      </c>
      <c r="M100" s="26">
        <v>2770</v>
      </c>
      <c r="N100" s="25">
        <v>231</v>
      </c>
      <c r="O100" s="26">
        <v>6</v>
      </c>
      <c r="P100" s="25">
        <v>90</v>
      </c>
      <c r="Q100" s="26">
        <v>35</v>
      </c>
      <c r="R100" s="35">
        <v>40</v>
      </c>
      <c r="S100" s="25">
        <v>25</v>
      </c>
      <c r="T100" s="26">
        <v>372</v>
      </c>
      <c r="U100" s="25">
        <v>20.9</v>
      </c>
      <c r="V100" s="26">
        <v>11.2</v>
      </c>
      <c r="W100" s="25">
        <v>1.37</v>
      </c>
      <c r="X100" s="27" t="s">
        <v>250</v>
      </c>
    </row>
    <row r="101" spans="1:24" ht="12.75">
      <c r="A101" s="22">
        <v>260</v>
      </c>
      <c r="B101" s="26">
        <v>250</v>
      </c>
      <c r="C101" s="26">
        <v>260</v>
      </c>
      <c r="D101" s="26">
        <v>7.5</v>
      </c>
      <c r="E101" s="25">
        <v>12.5</v>
      </c>
      <c r="F101" s="26">
        <v>24</v>
      </c>
      <c r="G101" s="25">
        <v>177</v>
      </c>
      <c r="H101" s="26">
        <v>86.8</v>
      </c>
      <c r="I101" s="25">
        <v>68.2</v>
      </c>
      <c r="J101" s="26">
        <v>10450</v>
      </c>
      <c r="K101" s="25">
        <v>836</v>
      </c>
      <c r="L101" s="26">
        <v>11</v>
      </c>
      <c r="M101" s="26">
        <v>3670</v>
      </c>
      <c r="N101" s="25">
        <v>282</v>
      </c>
      <c r="O101" s="26">
        <v>6.5</v>
      </c>
      <c r="P101" s="25">
        <v>100</v>
      </c>
      <c r="Q101" s="26">
        <v>40</v>
      </c>
      <c r="R101" s="35">
        <v>40</v>
      </c>
      <c r="S101" s="25">
        <v>25</v>
      </c>
      <c r="T101" s="26">
        <v>460</v>
      </c>
      <c r="U101" s="25">
        <v>22.7</v>
      </c>
      <c r="V101" s="26">
        <v>12.3</v>
      </c>
      <c r="W101" s="25">
        <v>1.48</v>
      </c>
      <c r="X101" s="27" t="s">
        <v>251</v>
      </c>
    </row>
    <row r="102" spans="1:24" ht="12.75">
      <c r="A102" s="22">
        <v>280</v>
      </c>
      <c r="B102" s="26">
        <v>270</v>
      </c>
      <c r="C102" s="26">
        <v>280</v>
      </c>
      <c r="D102" s="26">
        <v>8</v>
      </c>
      <c r="E102" s="25">
        <v>13</v>
      </c>
      <c r="F102" s="26">
        <v>24</v>
      </c>
      <c r="G102" s="25">
        <v>196</v>
      </c>
      <c r="H102" s="26">
        <v>97.3</v>
      </c>
      <c r="I102" s="25">
        <v>76.4</v>
      </c>
      <c r="J102" s="26">
        <v>13670</v>
      </c>
      <c r="K102" s="25">
        <v>1010</v>
      </c>
      <c r="L102" s="26">
        <v>11.9</v>
      </c>
      <c r="M102" s="26">
        <v>4760</v>
      </c>
      <c r="N102" s="25">
        <v>340</v>
      </c>
      <c r="O102" s="26">
        <v>7</v>
      </c>
      <c r="P102" s="25">
        <v>110</v>
      </c>
      <c r="Q102" s="26">
        <v>45</v>
      </c>
      <c r="R102" s="35">
        <v>40</v>
      </c>
      <c r="S102" s="25">
        <v>25</v>
      </c>
      <c r="T102" s="26">
        <v>556</v>
      </c>
      <c r="U102" s="25">
        <v>24.6</v>
      </c>
      <c r="V102" s="26">
        <v>13.2</v>
      </c>
      <c r="W102" s="25">
        <v>1.6</v>
      </c>
      <c r="X102" s="27" t="s">
        <v>252</v>
      </c>
    </row>
    <row r="103" spans="1:24" ht="12.75">
      <c r="A103" s="22">
        <v>300</v>
      </c>
      <c r="B103" s="26">
        <v>290</v>
      </c>
      <c r="C103" s="26">
        <v>300</v>
      </c>
      <c r="D103" s="26">
        <v>8.5</v>
      </c>
      <c r="E103" s="25">
        <v>14</v>
      </c>
      <c r="F103" s="26">
        <v>27</v>
      </c>
      <c r="G103" s="25">
        <v>208</v>
      </c>
      <c r="H103" s="26">
        <v>113</v>
      </c>
      <c r="I103" s="25">
        <v>88.3</v>
      </c>
      <c r="J103" s="26">
        <v>18260</v>
      </c>
      <c r="K103" s="25">
        <v>1260</v>
      </c>
      <c r="L103" s="26">
        <v>12.7</v>
      </c>
      <c r="M103" s="26">
        <v>6310</v>
      </c>
      <c r="N103" s="25">
        <v>421</v>
      </c>
      <c r="O103" s="26">
        <v>7.47</v>
      </c>
      <c r="P103" s="25">
        <v>120</v>
      </c>
      <c r="Q103" s="26">
        <v>50</v>
      </c>
      <c r="R103" s="35">
        <v>40</v>
      </c>
      <c r="S103" s="25">
        <v>25</v>
      </c>
      <c r="T103" s="26">
        <v>692</v>
      </c>
      <c r="U103" s="25">
        <v>26.4</v>
      </c>
      <c r="V103" s="26">
        <v>14.3</v>
      </c>
      <c r="W103" s="25">
        <v>1.72</v>
      </c>
      <c r="X103" s="27" t="s">
        <v>253</v>
      </c>
    </row>
    <row r="104" spans="1:24" ht="12.75">
      <c r="A104" s="22">
        <v>320</v>
      </c>
      <c r="B104" s="26">
        <v>310</v>
      </c>
      <c r="C104" s="26">
        <v>300</v>
      </c>
      <c r="D104" s="26">
        <v>9</v>
      </c>
      <c r="E104" s="25">
        <v>15.5</v>
      </c>
      <c r="F104" s="26">
        <v>27</v>
      </c>
      <c r="G104" s="25">
        <v>225</v>
      </c>
      <c r="H104" s="26">
        <v>124</v>
      </c>
      <c r="I104" s="25">
        <v>97.6</v>
      </c>
      <c r="J104" s="26">
        <v>22930</v>
      </c>
      <c r="K104" s="25">
        <v>1480</v>
      </c>
      <c r="L104" s="26">
        <v>13.6</v>
      </c>
      <c r="M104" s="26">
        <v>6990</v>
      </c>
      <c r="N104" s="25">
        <v>466</v>
      </c>
      <c r="O104" s="26">
        <v>7.51</v>
      </c>
      <c r="P104" s="25">
        <v>120</v>
      </c>
      <c r="Q104" s="26">
        <v>50</v>
      </c>
      <c r="R104" s="35">
        <v>40</v>
      </c>
      <c r="S104" s="25">
        <v>25</v>
      </c>
      <c r="T104" s="26">
        <v>814</v>
      </c>
      <c r="U104" s="25">
        <v>28.2</v>
      </c>
      <c r="V104" s="26">
        <v>15.2</v>
      </c>
      <c r="W104" s="25">
        <v>1.76</v>
      </c>
      <c r="X104" s="27" t="s">
        <v>254</v>
      </c>
    </row>
    <row r="105" spans="1:24" ht="12.75">
      <c r="A105" s="22">
        <v>340</v>
      </c>
      <c r="B105" s="26">
        <v>330</v>
      </c>
      <c r="C105" s="26">
        <v>300</v>
      </c>
      <c r="D105" s="26">
        <v>9.5</v>
      </c>
      <c r="E105" s="25">
        <v>16.5</v>
      </c>
      <c r="F105" s="26">
        <v>27</v>
      </c>
      <c r="G105" s="25">
        <v>243</v>
      </c>
      <c r="H105" s="26">
        <v>133</v>
      </c>
      <c r="I105" s="25">
        <v>105</v>
      </c>
      <c r="J105" s="26">
        <v>27690</v>
      </c>
      <c r="K105" s="25">
        <v>1680</v>
      </c>
      <c r="L105" s="26">
        <v>14.4</v>
      </c>
      <c r="M105" s="26">
        <v>7440</v>
      </c>
      <c r="N105" s="25">
        <v>496</v>
      </c>
      <c r="O105" s="26">
        <v>7.46</v>
      </c>
      <c r="P105" s="25">
        <v>120</v>
      </c>
      <c r="Q105" s="26">
        <v>50</v>
      </c>
      <c r="R105" s="35">
        <v>40</v>
      </c>
      <c r="S105" s="25">
        <v>25</v>
      </c>
      <c r="T105" s="26">
        <v>925</v>
      </c>
      <c r="U105" s="25">
        <v>29.9</v>
      </c>
      <c r="V105" s="26">
        <v>16</v>
      </c>
      <c r="W105" s="25">
        <v>1.79</v>
      </c>
      <c r="X105" s="27" t="s">
        <v>255</v>
      </c>
    </row>
    <row r="106" spans="1:24" ht="12.75">
      <c r="A106" s="22">
        <v>360</v>
      </c>
      <c r="B106" s="26">
        <v>350</v>
      </c>
      <c r="C106" s="26">
        <v>300</v>
      </c>
      <c r="D106" s="26">
        <v>10</v>
      </c>
      <c r="E106" s="25">
        <v>17.5</v>
      </c>
      <c r="F106" s="26">
        <v>27</v>
      </c>
      <c r="G106" s="25">
        <v>261</v>
      </c>
      <c r="H106" s="26">
        <v>143</v>
      </c>
      <c r="I106" s="25">
        <v>112</v>
      </c>
      <c r="J106" s="26">
        <v>33090</v>
      </c>
      <c r="K106" s="25">
        <v>1890</v>
      </c>
      <c r="L106" s="26">
        <v>15.2</v>
      </c>
      <c r="M106" s="26">
        <v>7890</v>
      </c>
      <c r="N106" s="25">
        <v>526</v>
      </c>
      <c r="O106" s="26">
        <v>7.43</v>
      </c>
      <c r="P106" s="25">
        <v>120</v>
      </c>
      <c r="Q106" s="26">
        <v>50</v>
      </c>
      <c r="R106" s="35">
        <v>40</v>
      </c>
      <c r="S106" s="25">
        <v>25</v>
      </c>
      <c r="T106" s="26">
        <v>1040</v>
      </c>
      <c r="U106" s="25">
        <v>31.7</v>
      </c>
      <c r="V106" s="26">
        <v>16.9</v>
      </c>
      <c r="W106" s="25">
        <v>1.83</v>
      </c>
      <c r="X106" s="27" t="s">
        <v>256</v>
      </c>
    </row>
    <row r="107" spans="1:24" ht="12.75">
      <c r="A107" s="22">
        <v>400</v>
      </c>
      <c r="B107" s="26">
        <v>390</v>
      </c>
      <c r="C107" s="26">
        <v>300</v>
      </c>
      <c r="D107" s="26">
        <v>11</v>
      </c>
      <c r="E107" s="25">
        <v>19</v>
      </c>
      <c r="F107" s="26">
        <v>27</v>
      </c>
      <c r="G107" s="25">
        <v>298</v>
      </c>
      <c r="H107" s="26">
        <v>159</v>
      </c>
      <c r="I107" s="25">
        <v>125</v>
      </c>
      <c r="J107" s="26">
        <v>45070</v>
      </c>
      <c r="K107" s="25">
        <v>2310</v>
      </c>
      <c r="L107" s="26">
        <v>16.8</v>
      </c>
      <c r="M107" s="26">
        <v>8560</v>
      </c>
      <c r="N107" s="25">
        <v>571</v>
      </c>
      <c r="O107" s="26">
        <v>7.34</v>
      </c>
      <c r="P107" s="25">
        <v>120</v>
      </c>
      <c r="Q107" s="26">
        <v>50</v>
      </c>
      <c r="R107" s="35">
        <v>40</v>
      </c>
      <c r="S107" s="25">
        <v>25</v>
      </c>
      <c r="T107" s="26">
        <v>1280</v>
      </c>
      <c r="U107" s="25">
        <v>35.2</v>
      </c>
      <c r="V107" s="26">
        <v>18.5</v>
      </c>
      <c r="W107" s="25">
        <v>1.91</v>
      </c>
      <c r="X107" s="27" t="s">
        <v>257</v>
      </c>
    </row>
    <row r="108" spans="1:24" ht="12.75">
      <c r="A108" s="22">
        <v>450</v>
      </c>
      <c r="B108" s="26">
        <v>440</v>
      </c>
      <c r="C108" s="26">
        <v>300</v>
      </c>
      <c r="D108" s="26">
        <v>11.5</v>
      </c>
      <c r="E108" s="25">
        <v>21</v>
      </c>
      <c r="F108" s="26">
        <v>27</v>
      </c>
      <c r="G108" s="25">
        <v>344</v>
      </c>
      <c r="H108" s="26">
        <v>178</v>
      </c>
      <c r="I108" s="25">
        <v>140</v>
      </c>
      <c r="J108" s="26">
        <v>63720</v>
      </c>
      <c r="K108" s="25">
        <v>2900</v>
      </c>
      <c r="L108" s="26">
        <v>18.9</v>
      </c>
      <c r="M108" s="26">
        <v>9470</v>
      </c>
      <c r="N108" s="25">
        <v>631</v>
      </c>
      <c r="O108" s="26">
        <v>7.29</v>
      </c>
      <c r="P108" s="25">
        <v>120</v>
      </c>
      <c r="Q108" s="26">
        <v>50</v>
      </c>
      <c r="R108" s="35">
        <v>45</v>
      </c>
      <c r="S108" s="25">
        <v>25</v>
      </c>
      <c r="T108" s="26">
        <v>1610</v>
      </c>
      <c r="U108" s="25">
        <v>39.6</v>
      </c>
      <c r="V108" s="26">
        <v>20.7</v>
      </c>
      <c r="W108" s="25">
        <v>2.01</v>
      </c>
      <c r="X108" s="27" t="s">
        <v>258</v>
      </c>
    </row>
    <row r="109" spans="1:24" ht="12.75">
      <c r="A109" s="22">
        <v>500</v>
      </c>
      <c r="B109" s="26">
        <v>490</v>
      </c>
      <c r="C109" s="26">
        <v>300</v>
      </c>
      <c r="D109" s="26">
        <v>12</v>
      </c>
      <c r="E109" s="25">
        <v>23</v>
      </c>
      <c r="F109" s="26">
        <v>27</v>
      </c>
      <c r="G109" s="25">
        <v>390</v>
      </c>
      <c r="H109" s="26">
        <v>198</v>
      </c>
      <c r="I109" s="25">
        <v>155</v>
      </c>
      <c r="J109" s="26">
        <v>86970</v>
      </c>
      <c r="K109" s="25">
        <v>3550</v>
      </c>
      <c r="L109" s="26">
        <v>21</v>
      </c>
      <c r="M109" s="26">
        <v>10370</v>
      </c>
      <c r="N109" s="25">
        <v>691</v>
      </c>
      <c r="O109" s="26">
        <v>7.24</v>
      </c>
      <c r="P109" s="25">
        <v>120</v>
      </c>
      <c r="Q109" s="26">
        <v>45</v>
      </c>
      <c r="R109" s="35">
        <v>45</v>
      </c>
      <c r="S109" s="25">
        <v>28</v>
      </c>
      <c r="T109" s="26">
        <v>1970</v>
      </c>
      <c r="U109" s="25">
        <v>44.1</v>
      </c>
      <c r="V109" s="26">
        <v>22.9</v>
      </c>
      <c r="W109" s="25">
        <v>2.11</v>
      </c>
      <c r="X109" s="27" t="s">
        <v>259</v>
      </c>
    </row>
    <row r="110" spans="1:24" ht="12.75">
      <c r="A110" s="22">
        <v>550</v>
      </c>
      <c r="B110" s="26">
        <v>540</v>
      </c>
      <c r="C110" s="26">
        <v>300</v>
      </c>
      <c r="D110" s="26">
        <v>12.5</v>
      </c>
      <c r="E110" s="25">
        <v>24</v>
      </c>
      <c r="F110" s="26">
        <v>27</v>
      </c>
      <c r="G110" s="25">
        <v>438</v>
      </c>
      <c r="H110" s="26">
        <v>212</v>
      </c>
      <c r="I110" s="25">
        <v>166</v>
      </c>
      <c r="J110" s="26">
        <v>111900</v>
      </c>
      <c r="K110" s="25">
        <v>4150</v>
      </c>
      <c r="L110" s="26">
        <v>23</v>
      </c>
      <c r="M110" s="26">
        <v>10820</v>
      </c>
      <c r="N110" s="25">
        <v>721</v>
      </c>
      <c r="O110" s="26">
        <v>7.15</v>
      </c>
      <c r="P110" s="25">
        <v>120</v>
      </c>
      <c r="Q110" s="26">
        <v>45</v>
      </c>
      <c r="R110" s="35">
        <v>45</v>
      </c>
      <c r="S110" s="25">
        <v>28</v>
      </c>
      <c r="T110" s="26">
        <v>2310</v>
      </c>
      <c r="U110" s="25">
        <v>48.4</v>
      </c>
      <c r="V110" s="26">
        <v>25</v>
      </c>
      <c r="W110" s="25">
        <v>2.21</v>
      </c>
      <c r="X110" s="27" t="s">
        <v>260</v>
      </c>
    </row>
    <row r="111" spans="1:24" ht="12.75">
      <c r="A111" s="37">
        <v>600</v>
      </c>
      <c r="B111" s="38">
        <v>590</v>
      </c>
      <c r="C111" s="38">
        <v>300</v>
      </c>
      <c r="D111" s="38">
        <v>13</v>
      </c>
      <c r="E111" s="39">
        <v>25</v>
      </c>
      <c r="F111" s="38">
        <v>27</v>
      </c>
      <c r="G111" s="39">
        <v>486</v>
      </c>
      <c r="H111" s="38">
        <v>226</v>
      </c>
      <c r="I111" s="39">
        <v>178</v>
      </c>
      <c r="J111" s="38">
        <v>141200</v>
      </c>
      <c r="K111" s="39">
        <v>4790</v>
      </c>
      <c r="L111" s="38">
        <v>25</v>
      </c>
      <c r="M111" s="38">
        <v>11270</v>
      </c>
      <c r="N111" s="39">
        <v>751</v>
      </c>
      <c r="O111" s="38">
        <v>7.05</v>
      </c>
      <c r="P111" s="39">
        <v>120</v>
      </c>
      <c r="Q111" s="38">
        <v>45</v>
      </c>
      <c r="R111" s="40">
        <v>45</v>
      </c>
      <c r="S111" s="39">
        <v>28</v>
      </c>
      <c r="T111" s="38">
        <v>2680</v>
      </c>
      <c r="U111" s="39">
        <v>52.8</v>
      </c>
      <c r="V111" s="38">
        <v>26.9</v>
      </c>
      <c r="W111" s="39">
        <v>2.31</v>
      </c>
      <c r="X111" s="41" t="s">
        <v>261</v>
      </c>
    </row>
    <row r="112" spans="1:24" ht="12.75">
      <c r="A112" s="22">
        <v>500</v>
      </c>
      <c r="B112" s="26">
        <v>500</v>
      </c>
      <c r="C112" s="26">
        <v>300</v>
      </c>
      <c r="D112" s="26">
        <v>12</v>
      </c>
      <c r="E112" s="25">
        <v>25</v>
      </c>
      <c r="F112" s="26"/>
      <c r="G112" s="25"/>
      <c r="H112" s="26">
        <v>203</v>
      </c>
      <c r="I112" s="25">
        <v>160</v>
      </c>
      <c r="J112" s="26">
        <v>93721</v>
      </c>
      <c r="K112" s="25">
        <v>3748</v>
      </c>
      <c r="L112" s="26">
        <v>21.4</v>
      </c>
      <c r="M112" s="26">
        <v>11249</v>
      </c>
      <c r="N112" s="25">
        <v>749</v>
      </c>
      <c r="O112" s="26">
        <v>7.4</v>
      </c>
      <c r="P112" s="25"/>
      <c r="Q112" s="26"/>
      <c r="R112" s="35"/>
      <c r="S112" s="25"/>
      <c r="T112" s="26"/>
      <c r="U112" s="25"/>
      <c r="V112" s="26"/>
      <c r="W112" s="25">
        <v>2.18</v>
      </c>
      <c r="X112" s="27" t="s">
        <v>259</v>
      </c>
    </row>
    <row r="113" spans="1:24" ht="12.75">
      <c r="A113" s="22">
        <v>550</v>
      </c>
      <c r="B113" s="26">
        <v>550</v>
      </c>
      <c r="C113" s="26">
        <v>300</v>
      </c>
      <c r="D113" s="26">
        <v>12</v>
      </c>
      <c r="E113" s="25">
        <v>25</v>
      </c>
      <c r="F113" s="26"/>
      <c r="G113" s="25"/>
      <c r="H113" s="26">
        <v>209</v>
      </c>
      <c r="I113" s="25">
        <v>164</v>
      </c>
      <c r="J113" s="26">
        <v>115859</v>
      </c>
      <c r="K113" s="25">
        <v>4213</v>
      </c>
      <c r="L113" s="26">
        <v>23.5</v>
      </c>
      <c r="M113" s="26">
        <v>11249</v>
      </c>
      <c r="N113" s="25">
        <v>749</v>
      </c>
      <c r="O113" s="26">
        <v>7.3</v>
      </c>
      <c r="P113" s="25"/>
      <c r="Q113" s="26"/>
      <c r="R113" s="35"/>
      <c r="S113" s="25"/>
      <c r="T113" s="26"/>
      <c r="U113" s="25"/>
      <c r="V113" s="26"/>
      <c r="W113" s="25">
        <v>2.28</v>
      </c>
      <c r="X113" s="27" t="s">
        <v>260</v>
      </c>
    </row>
    <row r="114" spans="1:24" ht="12.75">
      <c r="A114" s="22">
        <v>600</v>
      </c>
      <c r="B114" s="26">
        <v>600</v>
      </c>
      <c r="C114" s="26">
        <v>300</v>
      </c>
      <c r="D114" s="26">
        <v>12</v>
      </c>
      <c r="E114" s="25">
        <v>25</v>
      </c>
      <c r="F114" s="26"/>
      <c r="G114" s="25"/>
      <c r="H114" s="26">
        <v>215</v>
      </c>
      <c r="I114" s="25">
        <v>169</v>
      </c>
      <c r="J114" s="26">
        <v>140621</v>
      </c>
      <c r="K114" s="25">
        <v>4687</v>
      </c>
      <c r="L114" s="26">
        <v>25.5</v>
      </c>
      <c r="M114" s="26">
        <v>11249</v>
      </c>
      <c r="N114" s="25">
        <v>749</v>
      </c>
      <c r="O114" s="26">
        <v>7.2</v>
      </c>
      <c r="P114" s="25"/>
      <c r="Q114" s="26"/>
      <c r="R114" s="35"/>
      <c r="S114" s="25"/>
      <c r="T114" s="26"/>
      <c r="U114" s="25"/>
      <c r="V114" s="26"/>
      <c r="W114" s="25">
        <v>2.38</v>
      </c>
      <c r="X114" s="27" t="s">
        <v>261</v>
      </c>
    </row>
    <row r="115" spans="1:24" ht="12.75">
      <c r="A115" s="22">
        <v>650</v>
      </c>
      <c r="B115" s="26">
        <v>650</v>
      </c>
      <c r="C115" s="26">
        <v>300</v>
      </c>
      <c r="D115" s="26">
        <v>15</v>
      </c>
      <c r="E115" s="25">
        <v>25</v>
      </c>
      <c r="F115" s="26"/>
      <c r="G115" s="25"/>
      <c r="H115" s="26">
        <v>239</v>
      </c>
      <c r="I115" s="25">
        <v>188</v>
      </c>
      <c r="J115" s="26">
        <v>173484</v>
      </c>
      <c r="K115" s="25">
        <v>5337</v>
      </c>
      <c r="L115" s="26">
        <v>26.9</v>
      </c>
      <c r="M115" s="26">
        <v>11249</v>
      </c>
      <c r="N115" s="25">
        <v>749</v>
      </c>
      <c r="O115" s="26">
        <v>6.8</v>
      </c>
      <c r="P115" s="25"/>
      <c r="Q115" s="26"/>
      <c r="R115" s="35"/>
      <c r="S115" s="25"/>
      <c r="T115" s="26"/>
      <c r="U115" s="25"/>
      <c r="V115" s="26"/>
      <c r="W115" s="25">
        <v>2.47</v>
      </c>
      <c r="X115" s="27" t="s">
        <v>262</v>
      </c>
    </row>
    <row r="116" spans="1:24" ht="12.75">
      <c r="A116" s="22">
        <v>700</v>
      </c>
      <c r="B116" s="26">
        <v>700</v>
      </c>
      <c r="C116" s="26">
        <v>300</v>
      </c>
      <c r="D116" s="26">
        <v>15</v>
      </c>
      <c r="E116" s="25">
        <v>25</v>
      </c>
      <c r="F116" s="26"/>
      <c r="G116" s="25"/>
      <c r="H116" s="26">
        <v>247</v>
      </c>
      <c r="I116" s="25">
        <v>194</v>
      </c>
      <c r="J116" s="26">
        <v>205187</v>
      </c>
      <c r="K116" s="25">
        <v>5862</v>
      </c>
      <c r="L116" s="26">
        <v>28.8</v>
      </c>
      <c r="M116" s="26">
        <v>11249</v>
      </c>
      <c r="N116" s="25">
        <v>749</v>
      </c>
      <c r="O116" s="26">
        <v>637</v>
      </c>
      <c r="P116" s="25"/>
      <c r="Q116" s="26"/>
      <c r="R116" s="35"/>
      <c r="S116" s="25"/>
      <c r="T116" s="26"/>
      <c r="U116" s="25"/>
      <c r="V116" s="26"/>
      <c r="W116" s="25">
        <v>2.57</v>
      </c>
      <c r="X116" s="27" t="s">
        <v>263</v>
      </c>
    </row>
    <row r="117" spans="1:24" ht="12.75">
      <c r="A117" s="22">
        <v>800</v>
      </c>
      <c r="B117" s="26">
        <v>800</v>
      </c>
      <c r="C117" s="26">
        <v>300</v>
      </c>
      <c r="D117" s="26">
        <v>15</v>
      </c>
      <c r="E117" s="25">
        <v>30</v>
      </c>
      <c r="F117" s="26"/>
      <c r="G117" s="25"/>
      <c r="H117" s="26">
        <v>290</v>
      </c>
      <c r="I117" s="25">
        <v>228</v>
      </c>
      <c r="J117" s="26">
        <v>317457</v>
      </c>
      <c r="K117" s="25">
        <v>7936</v>
      </c>
      <c r="L117" s="26">
        <v>33</v>
      </c>
      <c r="M117" s="26">
        <v>13499</v>
      </c>
      <c r="N117" s="25">
        <v>899</v>
      </c>
      <c r="O117" s="26">
        <v>6.8</v>
      </c>
      <c r="P117" s="25"/>
      <c r="Q117" s="26"/>
      <c r="R117" s="35"/>
      <c r="S117" s="25"/>
      <c r="T117" s="26"/>
      <c r="U117" s="25"/>
      <c r="V117" s="26"/>
      <c r="W117" s="25">
        <v>2.77</v>
      </c>
      <c r="X117" s="27" t="s">
        <v>264</v>
      </c>
    </row>
    <row r="118" spans="1:24" ht="12.75">
      <c r="A118" s="22">
        <v>900</v>
      </c>
      <c r="B118" s="26">
        <v>900</v>
      </c>
      <c r="C118" s="26">
        <v>300</v>
      </c>
      <c r="D118" s="26">
        <v>15</v>
      </c>
      <c r="E118" s="25">
        <v>30</v>
      </c>
      <c r="F118" s="26"/>
      <c r="G118" s="25"/>
      <c r="H118" s="26">
        <v>305</v>
      </c>
      <c r="I118" s="25">
        <v>240</v>
      </c>
      <c r="J118" s="26">
        <v>414692</v>
      </c>
      <c r="K118" s="25">
        <v>9215</v>
      </c>
      <c r="L118" s="26">
        <v>36.8</v>
      </c>
      <c r="M118" s="26">
        <v>13499</v>
      </c>
      <c r="N118" s="25">
        <v>899</v>
      </c>
      <c r="O118" s="26">
        <v>6.6</v>
      </c>
      <c r="P118" s="25"/>
      <c r="Q118" s="26"/>
      <c r="R118" s="35"/>
      <c r="S118" s="25"/>
      <c r="T118" s="26"/>
      <c r="U118" s="25"/>
      <c r="V118" s="26"/>
      <c r="W118" s="25">
        <v>2.97</v>
      </c>
      <c r="X118" s="27" t="s">
        <v>265</v>
      </c>
    </row>
    <row r="119" spans="1:24" ht="13.5" thickBot="1">
      <c r="A119" s="42">
        <v>1000</v>
      </c>
      <c r="B119" s="36">
        <v>1000</v>
      </c>
      <c r="C119" s="36">
        <v>300</v>
      </c>
      <c r="D119" s="36">
        <v>15</v>
      </c>
      <c r="E119" s="36">
        <v>30</v>
      </c>
      <c r="F119" s="36"/>
      <c r="G119" s="36"/>
      <c r="H119" s="36">
        <v>320</v>
      </c>
      <c r="I119" s="36">
        <v>251</v>
      </c>
      <c r="J119" s="36">
        <v>527227</v>
      </c>
      <c r="K119" s="36">
        <v>10544</v>
      </c>
      <c r="L119" s="36">
        <v>40.5</v>
      </c>
      <c r="M119" s="36">
        <v>13499</v>
      </c>
      <c r="N119" s="36">
        <v>899</v>
      </c>
      <c r="O119" s="36">
        <v>6.5</v>
      </c>
      <c r="P119" s="36"/>
      <c r="Q119" s="36"/>
      <c r="R119" s="36"/>
      <c r="S119" s="36"/>
      <c r="T119" s="36"/>
      <c r="U119" s="36"/>
      <c r="V119" s="36"/>
      <c r="W119" s="36">
        <v>3.17</v>
      </c>
      <c r="X119" s="43" t="s">
        <v>266</v>
      </c>
    </row>
    <row r="122" ht="13.5" thickBot="1"/>
    <row r="123" spans="1:24" ht="19.5">
      <c r="A123" s="1" t="s">
        <v>41</v>
      </c>
      <c r="B123" s="2"/>
      <c r="C123" s="3" t="s">
        <v>1</v>
      </c>
      <c r="D123" s="3"/>
      <c r="E123" s="4"/>
      <c r="F123" s="4"/>
      <c r="G123" s="5"/>
      <c r="H123" s="6" t="s">
        <v>2</v>
      </c>
      <c r="I123" s="7" t="s">
        <v>3</v>
      </c>
      <c r="J123" s="8"/>
      <c r="K123" s="7" t="s">
        <v>4</v>
      </c>
      <c r="L123" s="9"/>
      <c r="M123" s="8"/>
      <c r="N123" s="10" t="s">
        <v>5</v>
      </c>
      <c r="O123" s="11"/>
      <c r="P123" s="7" t="s">
        <v>6</v>
      </c>
      <c r="Q123" s="6" t="s">
        <v>7</v>
      </c>
      <c r="R123" s="9" t="s">
        <v>39</v>
      </c>
      <c r="S123" s="7" t="s">
        <v>8</v>
      </c>
      <c r="T123" s="6" t="s">
        <v>9</v>
      </c>
      <c r="U123" s="7" t="s">
        <v>10</v>
      </c>
      <c r="V123" s="12" t="s">
        <v>11</v>
      </c>
      <c r="W123" s="7" t="s">
        <v>12</v>
      </c>
      <c r="X123" s="13" t="s">
        <v>41</v>
      </c>
    </row>
    <row r="124" spans="1:24" ht="12.75">
      <c r="A124" s="14"/>
      <c r="B124" s="15" t="s">
        <v>13</v>
      </c>
      <c r="C124" s="16" t="s">
        <v>14</v>
      </c>
      <c r="D124" s="16" t="s">
        <v>15</v>
      </c>
      <c r="E124" s="16" t="s">
        <v>16</v>
      </c>
      <c r="F124" s="16" t="s">
        <v>17</v>
      </c>
      <c r="G124" s="16" t="s">
        <v>18</v>
      </c>
      <c r="H124" s="17" t="s">
        <v>19</v>
      </c>
      <c r="I124" s="18" t="s">
        <v>20</v>
      </c>
      <c r="J124" s="17" t="s">
        <v>21</v>
      </c>
      <c r="K124" s="19" t="s">
        <v>22</v>
      </c>
      <c r="L124" s="19" t="s">
        <v>23</v>
      </c>
      <c r="M124" s="17" t="s">
        <v>24</v>
      </c>
      <c r="N124" s="20" t="s">
        <v>25</v>
      </c>
      <c r="O124" s="20" t="s">
        <v>26</v>
      </c>
      <c r="P124" s="18" t="s">
        <v>27</v>
      </c>
      <c r="Q124" s="17" t="s">
        <v>27</v>
      </c>
      <c r="R124" s="20"/>
      <c r="S124" s="18" t="s">
        <v>27</v>
      </c>
      <c r="T124" s="17" t="s">
        <v>28</v>
      </c>
      <c r="U124" s="18" t="s">
        <v>29</v>
      </c>
      <c r="V124" s="17" t="s">
        <v>30</v>
      </c>
      <c r="W124" s="18" t="s">
        <v>31</v>
      </c>
      <c r="X124" s="21"/>
    </row>
    <row r="125" spans="1:24" ht="12.75">
      <c r="A125" s="46">
        <v>80</v>
      </c>
      <c r="B125" s="46">
        <v>80</v>
      </c>
      <c r="C125" s="46">
        <v>45</v>
      </c>
      <c r="D125" s="46"/>
      <c r="E125" s="46"/>
      <c r="F125" s="46"/>
      <c r="G125" s="46"/>
      <c r="H125" s="46">
        <f>H142/2</f>
        <v>11</v>
      </c>
      <c r="I125" s="46"/>
      <c r="J125" s="45">
        <v>106</v>
      </c>
      <c r="K125" s="45">
        <v>26.5</v>
      </c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 t="s">
        <v>273</v>
      </c>
    </row>
    <row r="126" spans="1:24" ht="12.75">
      <c r="A126" s="46">
        <v>100</v>
      </c>
      <c r="B126" s="46">
        <v>100</v>
      </c>
      <c r="C126" s="46">
        <v>50</v>
      </c>
      <c r="D126" s="46"/>
      <c r="E126" s="46"/>
      <c r="F126" s="46"/>
      <c r="G126" s="46"/>
      <c r="H126" s="46">
        <f aca="true" t="shared" si="0" ref="H126:H136">H143/2</f>
        <v>13.5</v>
      </c>
      <c r="I126" s="46"/>
      <c r="J126" s="45">
        <v>206</v>
      </c>
      <c r="K126" s="45">
        <v>41.2</v>
      </c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 t="s">
        <v>274</v>
      </c>
    </row>
    <row r="127" spans="1:24" ht="12.75">
      <c r="A127" s="46">
        <v>120</v>
      </c>
      <c r="B127" s="46">
        <v>120</v>
      </c>
      <c r="C127" s="46">
        <v>55</v>
      </c>
      <c r="D127" s="46"/>
      <c r="E127" s="46"/>
      <c r="F127" s="46"/>
      <c r="G127" s="46"/>
      <c r="H127" s="46">
        <f t="shared" si="0"/>
        <v>17</v>
      </c>
      <c r="I127" s="46"/>
      <c r="J127" s="45">
        <v>364</v>
      </c>
      <c r="K127" s="45">
        <v>60.7</v>
      </c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 t="s">
        <v>275</v>
      </c>
    </row>
    <row r="128" spans="1:24" ht="12.75">
      <c r="A128" s="46">
        <v>140</v>
      </c>
      <c r="B128" s="46">
        <v>140</v>
      </c>
      <c r="C128" s="46">
        <v>60</v>
      </c>
      <c r="D128" s="46"/>
      <c r="E128" s="46"/>
      <c r="F128" s="46"/>
      <c r="G128" s="46"/>
      <c r="H128" s="46">
        <f t="shared" si="0"/>
        <v>20.4</v>
      </c>
      <c r="I128" s="46"/>
      <c r="J128" s="45">
        <v>605</v>
      </c>
      <c r="K128" s="45">
        <v>86.4</v>
      </c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 t="s">
        <v>276</v>
      </c>
    </row>
    <row r="129" spans="1:24" ht="12.75">
      <c r="A129" s="46">
        <v>160</v>
      </c>
      <c r="B129" s="46">
        <v>160</v>
      </c>
      <c r="C129" s="46">
        <v>65</v>
      </c>
      <c r="D129" s="46"/>
      <c r="E129" s="46"/>
      <c r="F129" s="46"/>
      <c r="G129" s="46"/>
      <c r="H129" s="46">
        <f t="shared" si="0"/>
        <v>24</v>
      </c>
      <c r="I129" s="46"/>
      <c r="J129" s="45">
        <v>925</v>
      </c>
      <c r="K129" s="45">
        <v>116</v>
      </c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 t="s">
        <v>277</v>
      </c>
    </row>
    <row r="130" spans="1:24" ht="12.75">
      <c r="A130" s="46">
        <v>180</v>
      </c>
      <c r="B130" s="46">
        <v>180</v>
      </c>
      <c r="C130" s="46">
        <v>70</v>
      </c>
      <c r="D130" s="46"/>
      <c r="E130" s="46"/>
      <c r="F130" s="46"/>
      <c r="G130" s="46"/>
      <c r="H130" s="46">
        <f t="shared" si="0"/>
        <v>28</v>
      </c>
      <c r="I130" s="46"/>
      <c r="J130" s="45">
        <v>1350</v>
      </c>
      <c r="K130" s="45">
        <v>150</v>
      </c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 t="s">
        <v>278</v>
      </c>
    </row>
    <row r="131" spans="1:24" ht="12.75">
      <c r="A131" s="46">
        <v>200</v>
      </c>
      <c r="B131" s="46">
        <v>200</v>
      </c>
      <c r="C131" s="46">
        <v>75</v>
      </c>
      <c r="D131" s="46"/>
      <c r="E131" s="46"/>
      <c r="F131" s="46"/>
      <c r="G131" s="46"/>
      <c r="H131" s="46">
        <f t="shared" si="0"/>
        <v>32.2</v>
      </c>
      <c r="I131" s="46"/>
      <c r="J131" s="45">
        <v>1910</v>
      </c>
      <c r="K131" s="45">
        <v>191</v>
      </c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 t="s">
        <v>279</v>
      </c>
    </row>
    <row r="132" spans="1:24" ht="12.75">
      <c r="A132" s="46">
        <v>220</v>
      </c>
      <c r="B132" s="46">
        <v>220</v>
      </c>
      <c r="C132" s="46">
        <v>80</v>
      </c>
      <c r="D132" s="46"/>
      <c r="E132" s="46"/>
      <c r="F132" s="46"/>
      <c r="G132" s="46"/>
      <c r="H132" s="46">
        <f t="shared" si="0"/>
        <v>37.4</v>
      </c>
      <c r="I132" s="46"/>
      <c r="J132" s="45">
        <v>2690</v>
      </c>
      <c r="K132" s="45">
        <v>245</v>
      </c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 t="s">
        <v>280</v>
      </c>
    </row>
    <row r="133" spans="1:24" ht="12.75">
      <c r="A133" s="46">
        <v>240</v>
      </c>
      <c r="B133" s="46">
        <v>240</v>
      </c>
      <c r="C133" s="46">
        <v>85</v>
      </c>
      <c r="D133" s="46"/>
      <c r="E133" s="46"/>
      <c r="F133" s="46"/>
      <c r="G133" s="46"/>
      <c r="H133" s="46">
        <f t="shared" si="0"/>
        <v>42.3</v>
      </c>
      <c r="I133" s="46"/>
      <c r="J133" s="45">
        <v>3600</v>
      </c>
      <c r="K133" s="45">
        <v>300</v>
      </c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 t="s">
        <v>281</v>
      </c>
    </row>
    <row r="134" spans="1:24" ht="12.75">
      <c r="A134" s="46">
        <v>260</v>
      </c>
      <c r="B134" s="46">
        <v>260</v>
      </c>
      <c r="C134" s="46">
        <v>90</v>
      </c>
      <c r="D134" s="46"/>
      <c r="E134" s="46"/>
      <c r="F134" s="46"/>
      <c r="G134" s="46"/>
      <c r="H134" s="46">
        <f t="shared" si="0"/>
        <v>48.3</v>
      </c>
      <c r="I134" s="46"/>
      <c r="J134" s="45">
        <v>4820</v>
      </c>
      <c r="K134" s="45">
        <v>371</v>
      </c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 t="s">
        <v>282</v>
      </c>
    </row>
    <row r="135" spans="1:24" ht="12.75">
      <c r="A135" s="46">
        <v>280</v>
      </c>
      <c r="B135" s="46">
        <v>280</v>
      </c>
      <c r="C135" s="46">
        <v>95</v>
      </c>
      <c r="D135" s="46"/>
      <c r="E135" s="46"/>
      <c r="F135" s="46"/>
      <c r="G135" s="46"/>
      <c r="H135" s="46">
        <f t="shared" si="0"/>
        <v>53.3</v>
      </c>
      <c r="I135" s="46"/>
      <c r="J135" s="45">
        <v>6280</v>
      </c>
      <c r="K135" s="45">
        <v>448</v>
      </c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 t="s">
        <v>283</v>
      </c>
    </row>
    <row r="136" spans="1:24" ht="12.75">
      <c r="A136" s="46">
        <v>300</v>
      </c>
      <c r="B136" s="46">
        <v>300</v>
      </c>
      <c r="C136" s="46">
        <v>100</v>
      </c>
      <c r="D136" s="46"/>
      <c r="E136" s="46"/>
      <c r="F136" s="46"/>
      <c r="G136" s="46"/>
      <c r="H136" s="46">
        <f t="shared" si="0"/>
        <v>58.8</v>
      </c>
      <c r="I136" s="46"/>
      <c r="J136" s="45">
        <v>8030</v>
      </c>
      <c r="K136" s="45">
        <v>535</v>
      </c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 t="s">
        <v>284</v>
      </c>
    </row>
    <row r="139" ht="13.5" thickBot="1"/>
    <row r="140" spans="1:24" ht="19.5">
      <c r="A140" s="1" t="s">
        <v>89</v>
      </c>
      <c r="B140" s="2"/>
      <c r="C140" s="3" t="s">
        <v>1</v>
      </c>
      <c r="D140" s="3"/>
      <c r="E140" s="4"/>
      <c r="F140" s="4"/>
      <c r="G140" s="5"/>
      <c r="H140" s="6" t="s">
        <v>2</v>
      </c>
      <c r="I140" s="7" t="s">
        <v>3</v>
      </c>
      <c r="J140" s="8"/>
      <c r="K140" s="7" t="s">
        <v>4</v>
      </c>
      <c r="L140" s="9"/>
      <c r="M140" s="8"/>
      <c r="N140" s="10" t="s">
        <v>5</v>
      </c>
      <c r="O140" s="11"/>
      <c r="P140" s="7" t="s">
        <v>6</v>
      </c>
      <c r="Q140" s="6" t="s">
        <v>7</v>
      </c>
      <c r="R140" s="9" t="s">
        <v>39</v>
      </c>
      <c r="S140" s="7" t="s">
        <v>8</v>
      </c>
      <c r="T140" s="6" t="s">
        <v>9</v>
      </c>
      <c r="U140" s="7" t="s">
        <v>10</v>
      </c>
      <c r="V140" s="12" t="s">
        <v>11</v>
      </c>
      <c r="W140" s="7" t="s">
        <v>12</v>
      </c>
      <c r="X140" s="13" t="s">
        <v>89</v>
      </c>
    </row>
    <row r="141" spans="1:24" ht="12.75">
      <c r="A141" s="14"/>
      <c r="B141" s="15" t="s">
        <v>13</v>
      </c>
      <c r="C141" s="16" t="s">
        <v>14</v>
      </c>
      <c r="D141" s="16" t="s">
        <v>15</v>
      </c>
      <c r="E141" s="16" t="s">
        <v>16</v>
      </c>
      <c r="F141" s="16" t="s">
        <v>17</v>
      </c>
      <c r="G141" s="16" t="s">
        <v>18</v>
      </c>
      <c r="H141" s="17" t="s">
        <v>19</v>
      </c>
      <c r="I141" s="18" t="s">
        <v>20</v>
      </c>
      <c r="J141" s="17" t="s">
        <v>21</v>
      </c>
      <c r="K141" s="19" t="s">
        <v>22</v>
      </c>
      <c r="L141" s="19" t="s">
        <v>23</v>
      </c>
      <c r="M141" s="17" t="s">
        <v>24</v>
      </c>
      <c r="N141" s="20" t="s">
        <v>25</v>
      </c>
      <c r="O141" s="20" t="s">
        <v>26</v>
      </c>
      <c r="P141" s="18" t="s">
        <v>27</v>
      </c>
      <c r="Q141" s="17" t="s">
        <v>27</v>
      </c>
      <c r="R141" s="20"/>
      <c r="S141" s="18" t="s">
        <v>27</v>
      </c>
      <c r="T141" s="17" t="s">
        <v>28</v>
      </c>
      <c r="U141" s="18" t="s">
        <v>29</v>
      </c>
      <c r="V141" s="17" t="s">
        <v>30</v>
      </c>
      <c r="W141" s="18" t="s">
        <v>31</v>
      </c>
      <c r="X141" s="21"/>
    </row>
    <row r="142" spans="1:24" ht="12.75">
      <c r="A142" s="46">
        <v>80</v>
      </c>
      <c r="B142" s="46">
        <v>80</v>
      </c>
      <c r="C142" s="46">
        <v>45</v>
      </c>
      <c r="D142" s="46"/>
      <c r="E142" s="46"/>
      <c r="F142" s="46"/>
      <c r="G142" s="46"/>
      <c r="H142" s="46">
        <v>22</v>
      </c>
      <c r="I142" s="46"/>
      <c r="J142" s="45">
        <v>210</v>
      </c>
      <c r="K142" s="45">
        <v>53</v>
      </c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 t="s">
        <v>285</v>
      </c>
    </row>
    <row r="143" spans="1:24" ht="12.75">
      <c r="A143" s="46">
        <v>100</v>
      </c>
      <c r="B143" s="46">
        <v>100</v>
      </c>
      <c r="C143" s="46">
        <v>50</v>
      </c>
      <c r="D143" s="46"/>
      <c r="E143" s="46"/>
      <c r="F143" s="46"/>
      <c r="G143" s="46"/>
      <c r="H143" s="46">
        <v>27</v>
      </c>
      <c r="I143" s="46"/>
      <c r="J143" s="45">
        <v>412</v>
      </c>
      <c r="K143" s="45">
        <v>82.4</v>
      </c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 t="s">
        <v>286</v>
      </c>
    </row>
    <row r="144" spans="1:24" ht="12.75">
      <c r="A144" s="46">
        <v>120</v>
      </c>
      <c r="B144" s="46">
        <v>120</v>
      </c>
      <c r="C144" s="46">
        <v>55</v>
      </c>
      <c r="D144" s="46"/>
      <c r="E144" s="46"/>
      <c r="F144" s="46"/>
      <c r="G144" s="46"/>
      <c r="H144" s="46">
        <v>34</v>
      </c>
      <c r="I144" s="46"/>
      <c r="J144" s="45">
        <v>728</v>
      </c>
      <c r="K144" s="45">
        <v>121</v>
      </c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 t="s">
        <v>287</v>
      </c>
    </row>
    <row r="145" spans="1:24" ht="12.75">
      <c r="A145" s="46">
        <v>140</v>
      </c>
      <c r="B145" s="46">
        <v>140</v>
      </c>
      <c r="C145" s="46">
        <v>60</v>
      </c>
      <c r="D145" s="46"/>
      <c r="E145" s="46"/>
      <c r="F145" s="46"/>
      <c r="G145" s="46"/>
      <c r="H145" s="46">
        <v>40.8</v>
      </c>
      <c r="I145" s="46"/>
      <c r="J145" s="45">
        <v>1210</v>
      </c>
      <c r="K145" s="45">
        <v>173</v>
      </c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 t="s">
        <v>288</v>
      </c>
    </row>
    <row r="146" spans="1:24" ht="12.75">
      <c r="A146" s="46">
        <v>160</v>
      </c>
      <c r="B146" s="46">
        <v>160</v>
      </c>
      <c r="C146" s="46">
        <v>65</v>
      </c>
      <c r="D146" s="46"/>
      <c r="E146" s="46"/>
      <c r="F146" s="46"/>
      <c r="G146" s="46"/>
      <c r="H146" s="46">
        <v>48</v>
      </c>
      <c r="I146" s="46"/>
      <c r="J146" s="45">
        <v>1850</v>
      </c>
      <c r="K146" s="45">
        <v>232</v>
      </c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 t="s">
        <v>289</v>
      </c>
    </row>
    <row r="147" spans="1:24" ht="12.75">
      <c r="A147" s="46">
        <v>180</v>
      </c>
      <c r="B147" s="46">
        <v>180</v>
      </c>
      <c r="C147" s="46">
        <v>70</v>
      </c>
      <c r="D147" s="46"/>
      <c r="E147" s="46"/>
      <c r="F147" s="46"/>
      <c r="G147" s="46"/>
      <c r="H147" s="46">
        <v>56</v>
      </c>
      <c r="I147" s="46"/>
      <c r="J147" s="45">
        <v>2700</v>
      </c>
      <c r="K147" s="45">
        <v>300</v>
      </c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 t="s">
        <v>290</v>
      </c>
    </row>
    <row r="148" spans="1:24" ht="12.75">
      <c r="A148" s="46">
        <v>200</v>
      </c>
      <c r="B148" s="46">
        <v>200</v>
      </c>
      <c r="C148" s="46">
        <v>75</v>
      </c>
      <c r="D148" s="46"/>
      <c r="E148" s="46"/>
      <c r="F148" s="46"/>
      <c r="G148" s="46"/>
      <c r="H148" s="46">
        <v>64.4</v>
      </c>
      <c r="I148" s="46"/>
      <c r="J148" s="45">
        <v>3820</v>
      </c>
      <c r="K148" s="45">
        <v>382</v>
      </c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 t="s">
        <v>291</v>
      </c>
    </row>
    <row r="149" spans="1:24" ht="12.75">
      <c r="A149" s="46">
        <v>220</v>
      </c>
      <c r="B149" s="46">
        <v>220</v>
      </c>
      <c r="C149" s="46">
        <v>80</v>
      </c>
      <c r="D149" s="46"/>
      <c r="E149" s="46"/>
      <c r="F149" s="46"/>
      <c r="G149" s="46"/>
      <c r="H149" s="46">
        <v>74.8</v>
      </c>
      <c r="I149" s="46"/>
      <c r="J149" s="45">
        <v>5380</v>
      </c>
      <c r="K149" s="45">
        <v>490</v>
      </c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 t="s">
        <v>292</v>
      </c>
    </row>
    <row r="150" spans="1:24" ht="12.75">
      <c r="A150" s="46">
        <v>240</v>
      </c>
      <c r="B150" s="46">
        <v>240</v>
      </c>
      <c r="C150" s="46">
        <v>85</v>
      </c>
      <c r="D150" s="46"/>
      <c r="E150" s="46"/>
      <c r="F150" s="46"/>
      <c r="G150" s="46"/>
      <c r="H150" s="46">
        <v>84.6</v>
      </c>
      <c r="I150" s="46"/>
      <c r="J150" s="45">
        <v>7200</v>
      </c>
      <c r="K150" s="45">
        <v>600</v>
      </c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 t="s">
        <v>293</v>
      </c>
    </row>
    <row r="151" spans="1:24" ht="12.75">
      <c r="A151" s="46">
        <v>260</v>
      </c>
      <c r="B151" s="46">
        <v>260</v>
      </c>
      <c r="C151" s="46">
        <v>90</v>
      </c>
      <c r="D151" s="46"/>
      <c r="E151" s="46"/>
      <c r="F151" s="46"/>
      <c r="G151" s="46"/>
      <c r="H151" s="46">
        <v>96.6</v>
      </c>
      <c r="I151" s="46"/>
      <c r="J151" s="45">
        <v>9640</v>
      </c>
      <c r="K151" s="45">
        <v>742</v>
      </c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 t="s">
        <v>294</v>
      </c>
    </row>
    <row r="152" spans="1:24" ht="12.75">
      <c r="A152" s="46">
        <v>280</v>
      </c>
      <c r="B152" s="46">
        <v>280</v>
      </c>
      <c r="C152" s="46">
        <v>95</v>
      </c>
      <c r="D152" s="46"/>
      <c r="E152" s="46"/>
      <c r="F152" s="46"/>
      <c r="G152" s="46"/>
      <c r="H152" s="46">
        <v>106.6</v>
      </c>
      <c r="I152" s="46"/>
      <c r="J152" s="45">
        <v>12560</v>
      </c>
      <c r="K152" s="45">
        <v>896</v>
      </c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 t="s">
        <v>295</v>
      </c>
    </row>
    <row r="153" spans="1:24" ht="12.75">
      <c r="A153" s="46">
        <v>300</v>
      </c>
      <c r="B153" s="46">
        <v>300</v>
      </c>
      <c r="C153" s="46">
        <v>100</v>
      </c>
      <c r="D153" s="46"/>
      <c r="E153" s="46"/>
      <c r="F153" s="46"/>
      <c r="G153" s="46"/>
      <c r="H153" s="46">
        <v>117.6</v>
      </c>
      <c r="I153" s="46"/>
      <c r="J153" s="45">
        <v>36060</v>
      </c>
      <c r="K153" s="45">
        <v>1070</v>
      </c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 t="s">
        <v>296</v>
      </c>
    </row>
    <row r="156" ht="13.5" thickBot="1"/>
    <row r="157" spans="1:24" ht="19.5">
      <c r="A157" s="1" t="s">
        <v>90</v>
      </c>
      <c r="B157" s="2"/>
      <c r="C157" s="3" t="s">
        <v>1</v>
      </c>
      <c r="D157" s="3"/>
      <c r="E157" s="4"/>
      <c r="F157" s="4"/>
      <c r="G157" s="5"/>
      <c r="H157" s="6" t="s">
        <v>2</v>
      </c>
      <c r="I157" s="7" t="s">
        <v>3</v>
      </c>
      <c r="J157" s="8"/>
      <c r="K157" s="7" t="s">
        <v>4</v>
      </c>
      <c r="L157" s="9"/>
      <c r="M157" s="8"/>
      <c r="N157" s="10" t="s">
        <v>5</v>
      </c>
      <c r="O157" s="11"/>
      <c r="P157" s="7" t="s">
        <v>6</v>
      </c>
      <c r="Q157" s="6" t="s">
        <v>7</v>
      </c>
      <c r="R157" s="9" t="s">
        <v>39</v>
      </c>
      <c r="S157" s="7" t="s">
        <v>8</v>
      </c>
      <c r="T157" s="6" t="s">
        <v>9</v>
      </c>
      <c r="U157" s="7" t="s">
        <v>10</v>
      </c>
      <c r="V157" s="12" t="s">
        <v>11</v>
      </c>
      <c r="W157" s="7" t="s">
        <v>12</v>
      </c>
      <c r="X157" s="13" t="s">
        <v>90</v>
      </c>
    </row>
    <row r="158" spans="1:24" ht="12.75">
      <c r="A158" s="14"/>
      <c r="B158" s="15" t="s">
        <v>13</v>
      </c>
      <c r="C158" s="16" t="s">
        <v>14</v>
      </c>
      <c r="D158" s="16" t="s">
        <v>15</v>
      </c>
      <c r="E158" s="16" t="s">
        <v>16</v>
      </c>
      <c r="F158" s="16" t="s">
        <v>17</v>
      </c>
      <c r="G158" s="16" t="s">
        <v>18</v>
      </c>
      <c r="H158" s="17" t="s">
        <v>19</v>
      </c>
      <c r="I158" s="18" t="s">
        <v>20</v>
      </c>
      <c r="J158" s="17" t="s">
        <v>21</v>
      </c>
      <c r="K158" s="19" t="s">
        <v>22</v>
      </c>
      <c r="L158" s="19" t="s">
        <v>23</v>
      </c>
      <c r="M158" s="17" t="s">
        <v>24</v>
      </c>
      <c r="N158" s="20" t="s">
        <v>25</v>
      </c>
      <c r="O158" s="20" t="s">
        <v>26</v>
      </c>
      <c r="P158" s="18" t="s">
        <v>27</v>
      </c>
      <c r="Q158" s="17" t="s">
        <v>27</v>
      </c>
      <c r="R158" s="20"/>
      <c r="S158" s="18" t="s">
        <v>27</v>
      </c>
      <c r="T158" s="17" t="s">
        <v>28</v>
      </c>
      <c r="U158" s="18" t="s">
        <v>29</v>
      </c>
      <c r="V158" s="17" t="s">
        <v>30</v>
      </c>
      <c r="W158" s="18" t="s">
        <v>31</v>
      </c>
      <c r="X158" s="21"/>
    </row>
    <row r="159" spans="1:24" ht="12.75">
      <c r="A159" s="45" t="s">
        <v>267</v>
      </c>
      <c r="B159" s="45"/>
      <c r="C159" s="45"/>
      <c r="D159" s="45"/>
      <c r="E159" s="45"/>
      <c r="F159" s="45"/>
      <c r="G159" s="45"/>
      <c r="H159" s="45">
        <v>3.77</v>
      </c>
      <c r="I159" s="45"/>
      <c r="J159" s="45">
        <v>5.28</v>
      </c>
      <c r="K159" s="45">
        <v>1.84</v>
      </c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 t="s">
        <v>148</v>
      </c>
    </row>
    <row r="160" spans="1:24" ht="12.75">
      <c r="A160" s="45" t="s">
        <v>268</v>
      </c>
      <c r="B160" s="45"/>
      <c r="C160" s="45"/>
      <c r="D160" s="45"/>
      <c r="E160" s="45"/>
      <c r="F160" s="45"/>
      <c r="G160" s="45"/>
      <c r="H160" s="45">
        <v>5.66</v>
      </c>
      <c r="I160" s="45"/>
      <c r="J160" s="45">
        <v>12.1</v>
      </c>
      <c r="K160" s="45">
        <v>3.36</v>
      </c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 t="s">
        <v>149</v>
      </c>
    </row>
    <row r="161" spans="1:24" ht="12.75">
      <c r="A161" s="45" t="s">
        <v>269</v>
      </c>
      <c r="B161" s="45"/>
      <c r="C161" s="45"/>
      <c r="D161" s="45"/>
      <c r="E161" s="45"/>
      <c r="F161" s="45"/>
      <c r="G161" s="45"/>
      <c r="H161" s="45">
        <v>7.94</v>
      </c>
      <c r="I161" s="45"/>
      <c r="J161" s="45">
        <v>23.8</v>
      </c>
      <c r="K161" s="45">
        <v>5.48</v>
      </c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 t="s">
        <v>150</v>
      </c>
    </row>
    <row r="162" spans="1:24" ht="12.75">
      <c r="A162" s="45" t="s">
        <v>270</v>
      </c>
      <c r="B162" s="45"/>
      <c r="C162" s="45"/>
      <c r="D162" s="45"/>
      <c r="E162" s="45"/>
      <c r="F162" s="45"/>
      <c r="G162" s="45"/>
      <c r="H162" s="45">
        <v>10.6</v>
      </c>
      <c r="I162" s="45"/>
      <c r="J162" s="45">
        <v>44.5</v>
      </c>
      <c r="K162" s="45">
        <v>8.79</v>
      </c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 t="s">
        <v>151</v>
      </c>
    </row>
    <row r="163" spans="1:24" ht="12.75">
      <c r="A163" s="45" t="s">
        <v>271</v>
      </c>
      <c r="B163" s="45"/>
      <c r="C163" s="45"/>
      <c r="D163" s="45"/>
      <c r="E163" s="45"/>
      <c r="F163" s="45"/>
      <c r="G163" s="45"/>
      <c r="H163" s="45">
        <v>13.6</v>
      </c>
      <c r="I163" s="45"/>
      <c r="J163" s="45">
        <v>73.7</v>
      </c>
      <c r="K163" s="45">
        <v>12.8</v>
      </c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 t="s">
        <v>152</v>
      </c>
    </row>
    <row r="164" spans="1:24" ht="12.75">
      <c r="A164" s="45" t="s">
        <v>272</v>
      </c>
      <c r="B164" s="45"/>
      <c r="C164" s="45"/>
      <c r="D164" s="45"/>
      <c r="E164" s="45"/>
      <c r="F164" s="45"/>
      <c r="G164" s="45"/>
      <c r="H164" s="45">
        <v>20.9</v>
      </c>
      <c r="I164" s="45"/>
      <c r="J164" s="45">
        <v>179</v>
      </c>
      <c r="K164" s="45">
        <v>24.6</v>
      </c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 t="s">
        <v>153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 ARQUITECTOS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AM Arquitectos</cp:lastModifiedBy>
  <dcterms:created xsi:type="dcterms:W3CDTF">2008-01-28T18:04:46Z</dcterms:created>
  <dcterms:modified xsi:type="dcterms:W3CDTF">2014-10-01T15:11:55Z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